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1580" windowHeight="8070" tabRatio="767" activeTab="15"/>
  </bookViews>
  <sheets>
    <sheet name="BALANCES" sheetId="1" r:id="rId1"/>
    <sheet name="ADICIONAL" sheetId="2" r:id="rId2"/>
    <sheet name="IPC-INPC" sheetId="8" r:id="rId3"/>
    <sheet name="INVENTARIO INICIAL" sheetId="10" r:id="rId4"/>
    <sheet name="AJUSTE INICIAL AM " sheetId="11" r:id="rId5"/>
    <sheet name="AJUSTE INICIAL AFD" sheetId="3" r:id="rId6"/>
    <sheet name="ASIENTOS FISCALES" sheetId="12" r:id="rId7"/>
    <sheet name="Balance Fiscal Ajustado 2014" sheetId="4" r:id="rId8"/>
    <sheet name="ACTIVOS FIJOS AR" sheetId="5" r:id="rId9"/>
    <sheet name="ACTIVOS FIJOS AMORTIZABLES" sheetId="6" r:id="rId10"/>
    <sheet name="BALANCE FISCAL ACT 2014 A 2015" sheetId="17" r:id="rId11"/>
    <sheet name="INVENTARIOS" sheetId="9" r:id="rId12"/>
    <sheet name="CAPITAL SOCIAL" sheetId="14" r:id="rId13"/>
    <sheet name="EXCLUSIONES FISCALES" sheetId="13" r:id="rId14"/>
    <sheet name="ASIENTOS FISCALES 2015" sheetId="16" r:id="rId15"/>
    <sheet name="Balance Fiscal Ajustado 2015" sheetId="15" r:id="rId16"/>
  </sheets>
  <externalReferences>
    <externalReference r:id="rId17"/>
  </externalReferences>
  <definedNames>
    <definedName name="_xlnm._FilterDatabase" localSheetId="15" hidden="1">'Balance Fiscal Ajustado 2015'!$A$1:$E$60</definedName>
    <definedName name="_xlnm.Print_Area" localSheetId="10">'BALANCE FISCAL ACT 2014 A 2015'!$A$1:$E$57</definedName>
    <definedName name="_xlnm.Print_Area" localSheetId="7">'Balance Fiscal Ajustado 2014'!$A$1:$F$55</definedName>
    <definedName name="baseipc">[1]IPC!$A$2:$B$853</definedName>
    <definedName name="BFIA">'Balance Fiscal Ajustado 2014'!$A$6:$H$54</definedName>
    <definedName name="INPC">'IPC-INPC'!$C$3:$E$26</definedName>
    <definedName name="IPC">'IPC-INPC'!$G$3:$I$26</definedName>
    <definedName name="IPCINPC">'IPC-INPC'!$K$3:$M$26</definedName>
    <definedName name="_xlnm.Print_Titles" localSheetId="1">ADICIONAL!$1:$1</definedName>
  </definedNames>
  <calcPr calcId="145621"/>
</workbook>
</file>

<file path=xl/calcChain.xml><?xml version="1.0" encoding="utf-8"?>
<calcChain xmlns="http://schemas.openxmlformats.org/spreadsheetml/2006/main">
  <c r="G15" i="6" l="1"/>
  <c r="P15" i="6" s="1"/>
  <c r="Q14" i="6"/>
  <c r="P14" i="6"/>
  <c r="N15" i="6"/>
  <c r="N14" i="6"/>
  <c r="L15" i="6"/>
  <c r="L14" i="6"/>
  <c r="K14" i="6"/>
  <c r="I15" i="6"/>
  <c r="I14" i="6"/>
  <c r="Q29" i="5"/>
  <c r="Q28" i="5"/>
  <c r="Q25" i="5"/>
  <c r="Q22" i="5"/>
  <c r="Q21" i="5"/>
  <c r="Q18" i="5"/>
  <c r="Q17" i="5"/>
  <c r="Q16" i="5"/>
  <c r="Q15" i="5"/>
  <c r="P29" i="5"/>
  <c r="P28" i="5"/>
  <c r="P25" i="5"/>
  <c r="P22" i="5"/>
  <c r="P21" i="5"/>
  <c r="P18" i="5"/>
  <c r="P17" i="5"/>
  <c r="P16" i="5"/>
  <c r="P15" i="5"/>
  <c r="N29" i="5"/>
  <c r="N28" i="5"/>
  <c r="N25" i="5"/>
  <c r="N22" i="5"/>
  <c r="N21" i="5"/>
  <c r="N18" i="5"/>
  <c r="N17" i="5"/>
  <c r="N16" i="5"/>
  <c r="N15" i="5"/>
  <c r="G18" i="5"/>
  <c r="G17" i="5"/>
  <c r="G16" i="5"/>
  <c r="G15" i="5"/>
  <c r="G22" i="5"/>
  <c r="G21" i="5"/>
  <c r="G29" i="5"/>
  <c r="G28" i="5"/>
  <c r="F29" i="5"/>
  <c r="K29" i="5" s="1"/>
  <c r="F28" i="5"/>
  <c r="K28" i="5" s="1"/>
  <c r="F22" i="5"/>
  <c r="K22" i="5" s="1"/>
  <c r="F21" i="5"/>
  <c r="F18" i="5"/>
  <c r="K18" i="5" s="1"/>
  <c r="F17" i="5"/>
  <c r="F16" i="5"/>
  <c r="F15" i="5"/>
  <c r="F25" i="5"/>
  <c r="K25" i="5" s="1"/>
  <c r="G25" i="5"/>
  <c r="K21" i="5"/>
  <c r="K17" i="5"/>
  <c r="K16" i="5"/>
  <c r="K15" i="5"/>
  <c r="I28" i="5"/>
  <c r="L28" i="5" s="1"/>
  <c r="I25" i="5"/>
  <c r="I21" i="5"/>
  <c r="L21" i="5" s="1"/>
  <c r="I17" i="5"/>
  <c r="L17" i="5" s="1"/>
  <c r="I16" i="5"/>
  <c r="L16" i="5" s="1"/>
  <c r="I15" i="5"/>
  <c r="L15" i="5" s="1"/>
  <c r="L27" i="3"/>
  <c r="F22" i="12"/>
  <c r="I27" i="12" s="1"/>
  <c r="D19" i="3"/>
  <c r="D25" i="5"/>
  <c r="E25" i="5"/>
  <c r="K28" i="16"/>
  <c r="E35" i="16"/>
  <c r="C55" i="15"/>
  <c r="C48" i="15"/>
  <c r="C34" i="15"/>
  <c r="C33" i="15"/>
  <c r="C29" i="15"/>
  <c r="C28" i="15"/>
  <c r="C27" i="15"/>
  <c r="C26" i="15"/>
  <c r="C21" i="15"/>
  <c r="C17" i="15"/>
  <c r="C51" i="17"/>
  <c r="C50" i="17"/>
  <c r="C49" i="17"/>
  <c r="C48" i="17"/>
  <c r="C43" i="17"/>
  <c r="C42" i="17"/>
  <c r="C38" i="17"/>
  <c r="C39" i="17" s="1"/>
  <c r="C30" i="17"/>
  <c r="C29" i="17"/>
  <c r="C28" i="17"/>
  <c r="C24" i="17"/>
  <c r="C23" i="17"/>
  <c r="C22" i="17"/>
  <c r="C21" i="17"/>
  <c r="C16" i="17"/>
  <c r="C17" i="17" s="1"/>
  <c r="C9" i="17"/>
  <c r="C10" i="17"/>
  <c r="C11" i="17"/>
  <c r="C12" i="17"/>
  <c r="D3" i="10"/>
  <c r="E3" i="11"/>
  <c r="G2" i="3"/>
  <c r="D30" i="13"/>
  <c r="D25" i="13"/>
  <c r="D21" i="13"/>
  <c r="D18" i="13"/>
  <c r="C15" i="6"/>
  <c r="C14" i="6"/>
  <c r="C22" i="5"/>
  <c r="E1" i="17"/>
  <c r="L13" i="8"/>
  <c r="D17" i="13" s="1"/>
  <c r="L12" i="8"/>
  <c r="D34" i="13" s="1"/>
  <c r="L11" i="8"/>
  <c r="L10" i="8"/>
  <c r="D29" i="13" s="1"/>
  <c r="L9" i="8"/>
  <c r="D20" i="13" s="1"/>
  <c r="L8" i="8"/>
  <c r="L7" i="8"/>
  <c r="D22" i="13" s="1"/>
  <c r="L6" i="8"/>
  <c r="D31" i="13" s="1"/>
  <c r="L5" i="8"/>
  <c r="D24" i="13" s="1"/>
  <c r="L4" i="8"/>
  <c r="L3" i="8"/>
  <c r="D26" i="13" s="1"/>
  <c r="L14" i="8"/>
  <c r="D16" i="13" s="1"/>
  <c r="L26" i="8"/>
  <c r="L25" i="8"/>
  <c r="L24" i="8"/>
  <c r="L23" i="8"/>
  <c r="C25" i="5" s="1"/>
  <c r="L22" i="8"/>
  <c r="C15" i="5" s="1"/>
  <c r="L21" i="8"/>
  <c r="C21" i="5" s="1"/>
  <c r="L20" i="8"/>
  <c r="L19" i="8"/>
  <c r="L18" i="8"/>
  <c r="C16" i="5" s="1"/>
  <c r="L17" i="8"/>
  <c r="L16" i="8"/>
  <c r="L15" i="8"/>
  <c r="C17" i="5" s="1"/>
  <c r="H4" i="5"/>
  <c r="G4" i="5"/>
  <c r="C10" i="10"/>
  <c r="Q15" i="6" l="1"/>
  <c r="I22" i="5"/>
  <c r="L22" i="5" s="1"/>
  <c r="I18" i="5"/>
  <c r="L18" i="5" s="1"/>
  <c r="L25" i="5"/>
  <c r="C31" i="17"/>
  <c r="C44" i="17"/>
  <c r="C45" i="17"/>
  <c r="E2" i="17"/>
  <c r="C18" i="5"/>
  <c r="C28" i="5"/>
  <c r="D16" i="14"/>
  <c r="D19" i="13"/>
  <c r="D23" i="13"/>
  <c r="D28" i="13"/>
  <c r="C29" i="5"/>
  <c r="H15" i="9"/>
  <c r="B21" i="15"/>
  <c r="D55" i="15" l="1"/>
  <c r="F57" i="16"/>
  <c r="F37" i="13"/>
  <c r="D48" i="15"/>
  <c r="E48" i="15" s="1"/>
  <c r="E58" i="16"/>
  <c r="F35" i="13"/>
  <c r="B56" i="15"/>
  <c r="B54" i="15"/>
  <c r="B53" i="15"/>
  <c r="B52" i="15"/>
  <c r="B48" i="15"/>
  <c r="B47" i="15"/>
  <c r="B43" i="15"/>
  <c r="B35" i="15"/>
  <c r="B34" i="15"/>
  <c r="B33" i="15"/>
  <c r="B29" i="15"/>
  <c r="B28" i="15"/>
  <c r="B27" i="15"/>
  <c r="B26" i="15"/>
  <c r="B25" i="15"/>
  <c r="B14" i="15"/>
  <c r="B15" i="15"/>
  <c r="B16" i="15"/>
  <c r="B17" i="15"/>
  <c r="B13" i="15"/>
  <c r="D3" i="13"/>
  <c r="E3" i="13"/>
  <c r="F3" i="13"/>
  <c r="D4" i="13"/>
  <c r="D5" i="13"/>
  <c r="H9" i="4"/>
  <c r="H10" i="4"/>
  <c r="H11" i="4"/>
  <c r="H14" i="4"/>
  <c r="H15" i="4"/>
  <c r="H17" i="4"/>
  <c r="H18" i="4"/>
  <c r="H19" i="4"/>
  <c r="H25" i="4"/>
  <c r="H26" i="4"/>
  <c r="H27" i="4"/>
  <c r="H28" i="4"/>
  <c r="H29" i="4"/>
  <c r="H30" i="4"/>
  <c r="H31" i="4"/>
  <c r="H32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3" i="4"/>
  <c r="H55" i="4"/>
  <c r="H8" i="4"/>
  <c r="F3" i="14"/>
  <c r="G3" i="14"/>
  <c r="E4" i="14"/>
  <c r="E5" i="14"/>
  <c r="E3" i="9"/>
  <c r="F3" i="9"/>
  <c r="G3" i="9"/>
  <c r="E4" i="9"/>
  <c r="E5" i="9"/>
  <c r="F3" i="6"/>
  <c r="G3" i="6"/>
  <c r="H3" i="6"/>
  <c r="F4" i="6"/>
  <c r="F5" i="6"/>
  <c r="G5" i="5"/>
  <c r="G5" i="6" s="1"/>
  <c r="D28" i="5"/>
  <c r="B10" i="4"/>
  <c r="D10" i="11"/>
  <c r="D10" i="10"/>
  <c r="D23" i="3"/>
  <c r="D16" i="3"/>
  <c r="D11" i="3"/>
  <c r="D12" i="3"/>
  <c r="D10" i="3"/>
  <c r="F2" i="3"/>
  <c r="D3" i="11"/>
  <c r="C23" i="3"/>
  <c r="F5" i="9" l="1"/>
  <c r="F5" i="14" s="1"/>
  <c r="E5" i="13" s="1"/>
  <c r="E3" i="17"/>
  <c r="C10" i="11"/>
  <c r="D17" i="5"/>
  <c r="C12" i="3"/>
  <c r="D16" i="5"/>
  <c r="F4" i="9"/>
  <c r="C16" i="3"/>
  <c r="D15" i="5"/>
  <c r="D21" i="5"/>
  <c r="C10" i="3"/>
  <c r="C19" i="3"/>
  <c r="G4" i="6"/>
  <c r="C11" i="3"/>
  <c r="H5" i="5"/>
  <c r="A43" i="4"/>
  <c r="F8" i="4"/>
  <c r="C8" i="17" s="1"/>
  <c r="C13" i="17" s="1"/>
  <c r="E50" i="4"/>
  <c r="D43" i="4"/>
  <c r="E29" i="4"/>
  <c r="I34" i="12"/>
  <c r="J34" i="12" s="1"/>
  <c r="H32" i="12"/>
  <c r="I36" i="12"/>
  <c r="F36" i="12"/>
  <c r="F32" i="12"/>
  <c r="F34" i="12"/>
  <c r="A34" i="12"/>
  <c r="H25" i="3"/>
  <c r="F25" i="3"/>
  <c r="A31" i="3"/>
  <c r="H10" i="3"/>
  <c r="F13" i="3"/>
  <c r="H13" i="3"/>
  <c r="A27" i="3"/>
  <c r="A28" i="3"/>
  <c r="A29" i="3"/>
  <c r="A30" i="3"/>
  <c r="A26" i="3"/>
  <c r="E21" i="5" l="1"/>
  <c r="E28" i="5"/>
  <c r="E18" i="5"/>
  <c r="E22" i="5"/>
  <c r="P26" i="5"/>
  <c r="E17" i="5"/>
  <c r="E16" i="5"/>
  <c r="E29" i="5"/>
  <c r="E15" i="5"/>
  <c r="D15" i="9"/>
  <c r="F4" i="14"/>
  <c r="E4" i="13" s="1"/>
  <c r="D15" i="6"/>
  <c r="D14" i="6"/>
  <c r="F14" i="6" s="1"/>
  <c r="G5" i="9"/>
  <c r="H5" i="6"/>
  <c r="G4" i="9"/>
  <c r="H4" i="6"/>
  <c r="K15" i="9"/>
  <c r="J30" i="5"/>
  <c r="M30" i="5"/>
  <c r="O30" i="5"/>
  <c r="H30" i="5"/>
  <c r="H19" i="5"/>
  <c r="I29" i="5"/>
  <c r="L29" i="5" s="1"/>
  <c r="E23" i="3"/>
  <c r="G23" i="3" s="1"/>
  <c r="J23" i="3" s="1"/>
  <c r="S22" i="5"/>
  <c r="F27" i="13"/>
  <c r="F32" i="13"/>
  <c r="E11" i="12"/>
  <c r="E10" i="11"/>
  <c r="E19" i="3"/>
  <c r="E10" i="3"/>
  <c r="E11" i="3"/>
  <c r="E12" i="3"/>
  <c r="E16" i="3"/>
  <c r="F33" i="12"/>
  <c r="E36" i="12"/>
  <c r="O24" i="6"/>
  <c r="H11" i="3"/>
  <c r="H12" i="3"/>
  <c r="H16" i="3"/>
  <c r="H17" i="3" s="1"/>
  <c r="H20" i="3"/>
  <c r="F17" i="3"/>
  <c r="F20" i="3"/>
  <c r="L23" i="6"/>
  <c r="M12" i="6"/>
  <c r="J14" i="6"/>
  <c r="I12" i="6"/>
  <c r="J12" i="6" s="1"/>
  <c r="K12" i="6" s="1"/>
  <c r="L12" i="6" s="1"/>
  <c r="H12" i="6"/>
  <c r="O19" i="6"/>
  <c r="M19" i="6"/>
  <c r="J19" i="6"/>
  <c r="H19" i="6"/>
  <c r="N12" i="6"/>
  <c r="P12" i="6" s="1"/>
  <c r="Q12" i="6" s="1"/>
  <c r="R12" i="6" s="1"/>
  <c r="O12" i="6"/>
  <c r="P11" i="6"/>
  <c r="O21" i="5"/>
  <c r="O22" i="5"/>
  <c r="O23" i="5" s="1"/>
  <c r="O15" i="5"/>
  <c r="O16" i="5"/>
  <c r="O17" i="5"/>
  <c r="O18" i="5"/>
  <c r="M26" i="5"/>
  <c r="M23" i="5"/>
  <c r="M19" i="5"/>
  <c r="O26" i="5"/>
  <c r="J21" i="5"/>
  <c r="J22" i="5"/>
  <c r="J15" i="5"/>
  <c r="J16" i="5"/>
  <c r="J17" i="5"/>
  <c r="J18" i="5"/>
  <c r="J26" i="5"/>
  <c r="H26" i="5"/>
  <c r="H32" i="5" s="1"/>
  <c r="H23" i="5"/>
  <c r="N13" i="5"/>
  <c r="L13" i="5"/>
  <c r="K13" i="5"/>
  <c r="J13" i="5"/>
  <c r="I13" i="5"/>
  <c r="H13" i="5"/>
  <c r="P12" i="5"/>
  <c r="D89" i="2"/>
  <c r="D91" i="2" s="1"/>
  <c r="C46" i="1" s="1"/>
  <c r="H25" i="2"/>
  <c r="F25" i="2"/>
  <c r="F27" i="2" s="1"/>
  <c r="C23" i="1" s="1"/>
  <c r="F26" i="2"/>
  <c r="E25" i="2"/>
  <c r="E27" i="2"/>
  <c r="H18" i="2"/>
  <c r="F18" i="2"/>
  <c r="H19" i="2"/>
  <c r="F19" i="2"/>
  <c r="F22" i="2" s="1"/>
  <c r="H20" i="2"/>
  <c r="F20" i="2"/>
  <c r="F21" i="2"/>
  <c r="E18" i="2"/>
  <c r="E19" i="2"/>
  <c r="E20" i="2"/>
  <c r="B27" i="2"/>
  <c r="C21" i="1" s="1"/>
  <c r="D21" i="1" s="1"/>
  <c r="B22" i="2"/>
  <c r="H9" i="2"/>
  <c r="C11" i="1" s="1"/>
  <c r="G8" i="2"/>
  <c r="B12" i="4" s="1"/>
  <c r="D84" i="2"/>
  <c r="D50" i="2"/>
  <c r="D67" i="2"/>
  <c r="D96" i="2"/>
  <c r="F10" i="2"/>
  <c r="E10" i="2"/>
  <c r="H8" i="2"/>
  <c r="B10" i="2"/>
  <c r="H10" i="11"/>
  <c r="H18" i="12"/>
  <c r="K12" i="12"/>
  <c r="K17" i="12" s="1"/>
  <c r="A18" i="12"/>
  <c r="H17" i="12" s="1"/>
  <c r="H14" i="12"/>
  <c r="H12" i="12"/>
  <c r="K9" i="12"/>
  <c r="H9" i="12"/>
  <c r="A11" i="12"/>
  <c r="H7" i="12" s="1"/>
  <c r="A33" i="12"/>
  <c r="A27" i="12"/>
  <c r="A26" i="12"/>
  <c r="A21" i="12"/>
  <c r="A20" i="12"/>
  <c r="A19" i="12"/>
  <c r="B20" i="1"/>
  <c r="L12" i="12" s="1"/>
  <c r="L7" i="12"/>
  <c r="M9" i="12" s="1"/>
  <c r="D8" i="17"/>
  <c r="D30" i="17"/>
  <c r="D38" i="17"/>
  <c r="D42" i="17"/>
  <c r="A18" i="16"/>
  <c r="A11" i="16"/>
  <c r="A27" i="16"/>
  <c r="A21" i="16"/>
  <c r="A20" i="16"/>
  <c r="A19" i="16"/>
  <c r="G15" i="14"/>
  <c r="H15" i="14" s="1"/>
  <c r="I15" i="14" s="1"/>
  <c r="E59" i="16"/>
  <c r="E60" i="16"/>
  <c r="D33" i="15" s="1"/>
  <c r="N15" i="9"/>
  <c r="N17" i="9" s="1"/>
  <c r="L15" i="9"/>
  <c r="L17" i="9" s="1"/>
  <c r="A13" i="17"/>
  <c r="A17" i="17"/>
  <c r="A25" i="17"/>
  <c r="A31" i="17"/>
  <c r="A39" i="17"/>
  <c r="A53" i="17"/>
  <c r="A55" i="17" s="1"/>
  <c r="D34" i="15"/>
  <c r="D48" i="1"/>
  <c r="D47" i="1"/>
  <c r="D42" i="1"/>
  <c r="D41" i="1"/>
  <c r="D37" i="1"/>
  <c r="D29" i="1"/>
  <c r="D28" i="1"/>
  <c r="D27" i="1"/>
  <c r="B21" i="1"/>
  <c r="C20" i="1"/>
  <c r="D20" i="1" s="1"/>
  <c r="D19" i="1"/>
  <c r="D10" i="1"/>
  <c r="D9" i="1"/>
  <c r="D8" i="1"/>
  <c r="D7" i="1"/>
  <c r="C30" i="1"/>
  <c r="B30" i="1"/>
  <c r="C16" i="1"/>
  <c r="C38" i="1"/>
  <c r="C43" i="1"/>
  <c r="B16" i="1"/>
  <c r="B49" i="1"/>
  <c r="B43" i="1"/>
  <c r="B38" i="1"/>
  <c r="B51" i="1"/>
  <c r="C13" i="4"/>
  <c r="C17" i="4"/>
  <c r="C25" i="4"/>
  <c r="C31" i="4"/>
  <c r="D10" i="4"/>
  <c r="D31" i="4"/>
  <c r="E13" i="4"/>
  <c r="H13" i="4" s="1"/>
  <c r="E17" i="4"/>
  <c r="E28" i="4"/>
  <c r="F28" i="4" s="1"/>
  <c r="F9" i="4"/>
  <c r="F11" i="4"/>
  <c r="B21" i="4"/>
  <c r="B22" i="4"/>
  <c r="B24" i="4"/>
  <c r="F30" i="4"/>
  <c r="E30" i="17" s="1"/>
  <c r="C39" i="4"/>
  <c r="C52" i="4"/>
  <c r="C54" i="4" s="1"/>
  <c r="D39" i="4"/>
  <c r="E39" i="4"/>
  <c r="E44" i="4"/>
  <c r="F38" i="4"/>
  <c r="F39" i="4" s="1"/>
  <c r="F42" i="4"/>
  <c r="F43" i="4"/>
  <c r="F44" i="4"/>
  <c r="F47" i="4"/>
  <c r="E52" i="15" s="1"/>
  <c r="F48" i="4"/>
  <c r="E53" i="15" s="1"/>
  <c r="F49" i="4"/>
  <c r="E50" i="17" s="1"/>
  <c r="F53" i="4"/>
  <c r="F46" i="4"/>
  <c r="F45" i="4"/>
  <c r="F41" i="4"/>
  <c r="F40" i="4"/>
  <c r="F37" i="4"/>
  <c r="F36" i="4"/>
  <c r="F35" i="4"/>
  <c r="F34" i="4"/>
  <c r="F32" i="4"/>
  <c r="F27" i="4"/>
  <c r="F26" i="4"/>
  <c r="B17" i="4"/>
  <c r="B31" i="4"/>
  <c r="B52" i="4"/>
  <c r="B39" i="4"/>
  <c r="B44" i="4"/>
  <c r="B54" i="4" s="1"/>
  <c r="J18" i="14"/>
  <c r="F18" i="14"/>
  <c r="A21" i="10"/>
  <c r="E10" i="10"/>
  <c r="G10" i="10" s="1"/>
  <c r="I10" i="10"/>
  <c r="K17" i="9"/>
  <c r="J17" i="9"/>
  <c r="H17" i="9"/>
  <c r="G17" i="9"/>
  <c r="F17" i="9"/>
  <c r="O13" i="9"/>
  <c r="P13" i="9" s="1"/>
  <c r="I13" i="9"/>
  <c r="J13" i="9" s="1"/>
  <c r="H13" i="9"/>
  <c r="G13" i="9"/>
  <c r="A33" i="17"/>
  <c r="J23" i="5"/>
  <c r="K15" i="6"/>
  <c r="K23" i="5"/>
  <c r="E15" i="6" l="1"/>
  <c r="E14" i="6"/>
  <c r="G5" i="14"/>
  <c r="C15" i="9"/>
  <c r="G14" i="6"/>
  <c r="I19" i="6"/>
  <c r="K19" i="6"/>
  <c r="I23" i="3"/>
  <c r="K23" i="3" s="1"/>
  <c r="E15" i="9"/>
  <c r="I15" i="9" s="1"/>
  <c r="M15" i="9" s="1"/>
  <c r="G4" i="14"/>
  <c r="D11" i="17"/>
  <c r="D21" i="17"/>
  <c r="D28" i="17"/>
  <c r="D43" i="17"/>
  <c r="D29" i="17"/>
  <c r="D22" i="17"/>
  <c r="D20" i="17"/>
  <c r="D12" i="17"/>
  <c r="D9" i="17"/>
  <c r="T22" i="5"/>
  <c r="U22" i="5" s="1"/>
  <c r="F10" i="4"/>
  <c r="S28" i="5"/>
  <c r="I26" i="5"/>
  <c r="N26" i="5"/>
  <c r="F25" i="15" s="1"/>
  <c r="S29" i="5"/>
  <c r="F28" i="2"/>
  <c r="C22" i="1"/>
  <c r="D46" i="1"/>
  <c r="C49" i="1"/>
  <c r="C51" i="1" s="1"/>
  <c r="B23" i="1"/>
  <c r="D23" i="1" s="1"/>
  <c r="B11" i="1"/>
  <c r="D11" i="1" s="1"/>
  <c r="B28" i="2"/>
  <c r="C12" i="1"/>
  <c r="T18" i="5"/>
  <c r="T17" i="5"/>
  <c r="T21" i="5"/>
  <c r="S15" i="5"/>
  <c r="G10" i="11"/>
  <c r="J10" i="11" s="1"/>
  <c r="I10" i="11"/>
  <c r="K10" i="11" s="1"/>
  <c r="D50" i="4"/>
  <c r="G12" i="3"/>
  <c r="J12" i="3" s="1"/>
  <c r="I12" i="3"/>
  <c r="K12" i="3" s="1"/>
  <c r="G10" i="3"/>
  <c r="I10" i="3"/>
  <c r="K10" i="3" s="1"/>
  <c r="I16" i="3"/>
  <c r="G16" i="3"/>
  <c r="I11" i="3"/>
  <c r="K11" i="3" s="1"/>
  <c r="G11" i="3"/>
  <c r="J11" i="3" s="1"/>
  <c r="I19" i="3"/>
  <c r="G19" i="3"/>
  <c r="E8" i="17"/>
  <c r="C33" i="4"/>
  <c r="J10" i="10"/>
  <c r="K10" i="10" s="1"/>
  <c r="F29" i="4"/>
  <c r="F31" i="4" s="1"/>
  <c r="B13" i="4"/>
  <c r="D24" i="17"/>
  <c r="D23" i="17"/>
  <c r="D16" i="17"/>
  <c r="D10" i="17"/>
  <c r="L23" i="3"/>
  <c r="B31" i="3" s="1"/>
  <c r="E47" i="15"/>
  <c r="I30" i="5"/>
  <c r="E43" i="17"/>
  <c r="E16" i="15"/>
  <c r="E11" i="17"/>
  <c r="B12" i="1"/>
  <c r="C24" i="1"/>
  <c r="O19" i="5"/>
  <c r="O32" i="5" s="1"/>
  <c r="F12" i="12"/>
  <c r="F13" i="12" s="1"/>
  <c r="E13" i="12"/>
  <c r="E49" i="17"/>
  <c r="E35" i="15"/>
  <c r="E14" i="15"/>
  <c r="A42" i="12"/>
  <c r="H25" i="12"/>
  <c r="E22" i="2"/>
  <c r="O13" i="5"/>
  <c r="P13" i="5"/>
  <c r="Q13" i="5" s="1"/>
  <c r="R13" i="5" s="1"/>
  <c r="J19" i="5"/>
  <c r="J32" i="5" s="1"/>
  <c r="M32" i="5"/>
  <c r="M33" i="5" s="1"/>
  <c r="R22" i="5" l="1"/>
  <c r="T23" i="5"/>
  <c r="F20" i="16" s="1"/>
  <c r="D29" i="15" s="1"/>
  <c r="I17" i="9"/>
  <c r="R15" i="6"/>
  <c r="L19" i="6"/>
  <c r="F5" i="13"/>
  <c r="C16" i="14"/>
  <c r="E10" i="17"/>
  <c r="P19" i="6"/>
  <c r="K21" i="6"/>
  <c r="T29" i="5"/>
  <c r="U29" i="5" s="1"/>
  <c r="F4" i="13"/>
  <c r="E16" i="14"/>
  <c r="G16" i="14" s="1"/>
  <c r="T15" i="5"/>
  <c r="U15" i="5" s="1"/>
  <c r="N23" i="5"/>
  <c r="F27" i="15" s="1"/>
  <c r="S30" i="5"/>
  <c r="N30" i="5"/>
  <c r="F21" i="15" s="1"/>
  <c r="P23" i="5"/>
  <c r="F29" i="15" s="1"/>
  <c r="Q26" i="5"/>
  <c r="S25" i="5"/>
  <c r="S26" i="5" s="1"/>
  <c r="E21" i="16" s="1"/>
  <c r="D25" i="15" s="1"/>
  <c r="R15" i="5"/>
  <c r="K30" i="5"/>
  <c r="T25" i="5"/>
  <c r="C32" i="1"/>
  <c r="C52" i="1" s="1"/>
  <c r="I13" i="3"/>
  <c r="K13" i="3"/>
  <c r="C29" i="3" s="1"/>
  <c r="L12" i="3"/>
  <c r="M12" i="3" s="1"/>
  <c r="E26" i="12"/>
  <c r="E28" i="12" s="1"/>
  <c r="L10" i="11"/>
  <c r="R17" i="5"/>
  <c r="S17" i="5"/>
  <c r="U17" i="5" s="1"/>
  <c r="S18" i="5"/>
  <c r="U18" i="5" s="1"/>
  <c r="R18" i="5"/>
  <c r="E41" i="12"/>
  <c r="D16" i="4" s="1"/>
  <c r="H16" i="4" s="1"/>
  <c r="F50" i="4"/>
  <c r="D52" i="4"/>
  <c r="D54" i="4" s="1"/>
  <c r="J19" i="3"/>
  <c r="G20" i="3"/>
  <c r="L11" i="3"/>
  <c r="M11" i="3" s="1"/>
  <c r="G17" i="3"/>
  <c r="J16" i="3"/>
  <c r="F18" i="12"/>
  <c r="L18" i="12" s="1"/>
  <c r="I20" i="3"/>
  <c r="K19" i="3"/>
  <c r="K20" i="3" s="1"/>
  <c r="K16" i="3"/>
  <c r="K17" i="3" s="1"/>
  <c r="I17" i="3"/>
  <c r="J10" i="3"/>
  <c r="G13" i="3"/>
  <c r="F61" i="16"/>
  <c r="E34" i="15"/>
  <c r="E29" i="17"/>
  <c r="E54" i="15"/>
  <c r="K19" i="5"/>
  <c r="E38" i="17"/>
  <c r="E39" i="17" s="1"/>
  <c r="E48" i="17"/>
  <c r="E28" i="2"/>
  <c r="B22" i="1"/>
  <c r="B23" i="4"/>
  <c r="E43" i="15"/>
  <c r="E44" i="15" s="1"/>
  <c r="B44" i="15"/>
  <c r="E13" i="15"/>
  <c r="E42" i="17"/>
  <c r="E44" i="17" s="1"/>
  <c r="B36" i="15"/>
  <c r="E33" i="15"/>
  <c r="E49" i="15"/>
  <c r="E9" i="17"/>
  <c r="S21" i="5"/>
  <c r="I23" i="5"/>
  <c r="O15" i="9"/>
  <c r="M17" i="9"/>
  <c r="E28" i="17"/>
  <c r="B49" i="15"/>
  <c r="I19" i="5"/>
  <c r="Q23" i="5" l="1"/>
  <c r="E45" i="17"/>
  <c r="N19" i="6"/>
  <c r="P21" i="6" s="1"/>
  <c r="G18" i="14"/>
  <c r="H16" i="14"/>
  <c r="C29" i="13"/>
  <c r="E29" i="13" s="1"/>
  <c r="G29" i="13" s="1"/>
  <c r="H29" i="13" s="1"/>
  <c r="C34" i="13"/>
  <c r="E34" i="13" s="1"/>
  <c r="G34" i="13" s="1"/>
  <c r="C25" i="13"/>
  <c r="E25" i="13" s="1"/>
  <c r="G25" i="13" s="1"/>
  <c r="H25" i="13" s="1"/>
  <c r="C26" i="13"/>
  <c r="E26" i="13" s="1"/>
  <c r="G26" i="13" s="1"/>
  <c r="H26" i="13" s="1"/>
  <c r="C16" i="13"/>
  <c r="E16" i="13" s="1"/>
  <c r="G16" i="13" s="1"/>
  <c r="C18" i="13"/>
  <c r="E18" i="13" s="1"/>
  <c r="G18" i="13" s="1"/>
  <c r="H18" i="13" s="1"/>
  <c r="C24" i="13"/>
  <c r="E24" i="13" s="1"/>
  <c r="G24" i="13" s="1"/>
  <c r="H24" i="13" s="1"/>
  <c r="C21" i="13"/>
  <c r="E21" i="13" s="1"/>
  <c r="G21" i="13" s="1"/>
  <c r="H21" i="13" s="1"/>
  <c r="C23" i="13"/>
  <c r="E23" i="13" s="1"/>
  <c r="G23" i="13" s="1"/>
  <c r="H23" i="13" s="1"/>
  <c r="C28" i="13"/>
  <c r="E28" i="13" s="1"/>
  <c r="G28" i="13" s="1"/>
  <c r="C30" i="13"/>
  <c r="E30" i="13" s="1"/>
  <c r="G30" i="13" s="1"/>
  <c r="H30" i="13" s="1"/>
  <c r="C31" i="13"/>
  <c r="E31" i="13" s="1"/>
  <c r="G31" i="13" s="1"/>
  <c r="H31" i="13" s="1"/>
  <c r="C20" i="13"/>
  <c r="E20" i="13" s="1"/>
  <c r="G20" i="13" s="1"/>
  <c r="H20" i="13" s="1"/>
  <c r="C17" i="13"/>
  <c r="E17" i="13" s="1"/>
  <c r="G17" i="13" s="1"/>
  <c r="H17" i="13" s="1"/>
  <c r="C19" i="13"/>
  <c r="E19" i="13" s="1"/>
  <c r="G19" i="13" s="1"/>
  <c r="H19" i="13" s="1"/>
  <c r="C22" i="13"/>
  <c r="E22" i="13" s="1"/>
  <c r="G22" i="13" s="1"/>
  <c r="H22" i="13" s="1"/>
  <c r="E36" i="15"/>
  <c r="T28" i="5"/>
  <c r="U28" i="5" s="1"/>
  <c r="U30" i="5" s="1"/>
  <c r="P30" i="5"/>
  <c r="R28" i="5"/>
  <c r="Q30" i="5"/>
  <c r="D12" i="4"/>
  <c r="F42" i="12"/>
  <c r="I29" i="12" s="1"/>
  <c r="F27" i="12"/>
  <c r="I28" i="12" s="1"/>
  <c r="R29" i="5"/>
  <c r="L30" i="5"/>
  <c r="K26" i="5"/>
  <c r="K32" i="5" s="1"/>
  <c r="L26" i="5"/>
  <c r="T26" i="5"/>
  <c r="U25" i="5"/>
  <c r="U26" i="5" s="1"/>
  <c r="E43" i="12"/>
  <c r="G25" i="3"/>
  <c r="E23" i="4"/>
  <c r="E23" i="17"/>
  <c r="B15" i="11"/>
  <c r="C16" i="11"/>
  <c r="K25" i="3"/>
  <c r="I25" i="3"/>
  <c r="L19" i="5"/>
  <c r="E31" i="17"/>
  <c r="E51" i="17"/>
  <c r="E55" i="15"/>
  <c r="L16" i="3"/>
  <c r="J17" i="3"/>
  <c r="J20" i="3"/>
  <c r="E21" i="12" s="1"/>
  <c r="L19" i="3"/>
  <c r="L20" i="3" s="1"/>
  <c r="B26" i="3" s="1"/>
  <c r="L10" i="3"/>
  <c r="J13" i="3"/>
  <c r="C30" i="3"/>
  <c r="F20" i="12"/>
  <c r="I32" i="5"/>
  <c r="O17" i="9"/>
  <c r="P15" i="9"/>
  <c r="P17" i="9" s="1"/>
  <c r="E11" i="16" s="1"/>
  <c r="D15" i="15" s="1"/>
  <c r="L23" i="5"/>
  <c r="R21" i="5"/>
  <c r="R23" i="5" s="1"/>
  <c r="S16" i="5"/>
  <c r="N19" i="5"/>
  <c r="F16" i="4"/>
  <c r="S23" i="5"/>
  <c r="U21" i="5"/>
  <c r="U23" i="5" s="1"/>
  <c r="B25" i="4"/>
  <c r="B33" i="4" s="1"/>
  <c r="L17" i="12"/>
  <c r="M18" i="12" s="1"/>
  <c r="B24" i="1"/>
  <c r="B32" i="1" s="1"/>
  <c r="B52" i="1" s="1"/>
  <c r="D22" i="1"/>
  <c r="T16" i="5"/>
  <c r="T19" i="5" s="1"/>
  <c r="P19" i="5"/>
  <c r="F17" i="15" l="1"/>
  <c r="R14" i="6"/>
  <c r="R19" i="6" s="1"/>
  <c r="E27" i="16" s="1"/>
  <c r="Q19" i="6"/>
  <c r="F28" i="12"/>
  <c r="H18" i="14"/>
  <c r="I16" i="14"/>
  <c r="I18" i="14" s="1"/>
  <c r="E42" i="16" s="1"/>
  <c r="F12" i="4"/>
  <c r="H12" i="4"/>
  <c r="H28" i="13"/>
  <c r="H32" i="13" s="1"/>
  <c r="G32" i="13"/>
  <c r="H34" i="13"/>
  <c r="H35" i="13" s="1"/>
  <c r="G35" i="13"/>
  <c r="H16" i="13"/>
  <c r="H27" i="13" s="1"/>
  <c r="G27" i="13"/>
  <c r="N32" i="5"/>
  <c r="F26" i="15"/>
  <c r="P32" i="5"/>
  <c r="F28" i="15"/>
  <c r="F23" i="4"/>
  <c r="H23" i="4"/>
  <c r="R30" i="5"/>
  <c r="E22" i="16" s="1"/>
  <c r="F43" i="12"/>
  <c r="T30" i="5"/>
  <c r="T32" i="5" s="1"/>
  <c r="R25" i="5"/>
  <c r="R26" i="5" s="1"/>
  <c r="I33" i="5"/>
  <c r="L32" i="5"/>
  <c r="J25" i="3"/>
  <c r="E24" i="4"/>
  <c r="H24" i="4" s="1"/>
  <c r="E17" i="12"/>
  <c r="B27" i="3"/>
  <c r="D20" i="4"/>
  <c r="H20" i="4" s="1"/>
  <c r="C25" i="15" s="1"/>
  <c r="M16" i="3"/>
  <c r="M17" i="3" s="1"/>
  <c r="L17" i="3"/>
  <c r="L13" i="3"/>
  <c r="M10" i="3"/>
  <c r="M13" i="3" s="1"/>
  <c r="E19" i="12"/>
  <c r="B28" i="3"/>
  <c r="F18" i="16"/>
  <c r="R16" i="5"/>
  <c r="R19" i="5" s="1"/>
  <c r="Q19" i="5"/>
  <c r="Q32" i="5" s="1"/>
  <c r="E15" i="15"/>
  <c r="F12" i="16"/>
  <c r="E13" i="16"/>
  <c r="E19" i="16"/>
  <c r="D27" i="15" s="1"/>
  <c r="F17" i="4"/>
  <c r="U16" i="5"/>
  <c r="U19" i="5" s="1"/>
  <c r="U32" i="5" s="1"/>
  <c r="F23" i="16" s="1"/>
  <c r="K26" i="16" s="1"/>
  <c r="S19" i="5"/>
  <c r="E17" i="16" s="1"/>
  <c r="F28" i="16" l="1"/>
  <c r="E29" i="16"/>
  <c r="D17" i="15"/>
  <c r="E17" i="15" s="1"/>
  <c r="N33" i="5"/>
  <c r="F13" i="4"/>
  <c r="G37" i="13"/>
  <c r="H37" i="13"/>
  <c r="F43" i="16"/>
  <c r="J29" i="16"/>
  <c r="E44" i="16"/>
  <c r="N34" i="5"/>
  <c r="D21" i="15"/>
  <c r="E21" i="15" s="1"/>
  <c r="G21" i="15" s="1"/>
  <c r="R32" i="5"/>
  <c r="B33" i="3"/>
  <c r="M21" i="3"/>
  <c r="M25" i="3"/>
  <c r="E12" i="17"/>
  <c r="E13" i="17" s="1"/>
  <c r="B18" i="15"/>
  <c r="L25" i="3"/>
  <c r="C32" i="3" s="1"/>
  <c r="C33" i="3" s="1"/>
  <c r="F20" i="4"/>
  <c r="C20" i="17" s="1"/>
  <c r="C25" i="17" s="1"/>
  <c r="C33" i="17" s="1"/>
  <c r="E23" i="12"/>
  <c r="E21" i="17"/>
  <c r="D21" i="4"/>
  <c r="K14" i="12"/>
  <c r="M14" i="12" s="1"/>
  <c r="E24" i="17"/>
  <c r="D22" i="4"/>
  <c r="E22" i="17"/>
  <c r="E33" i="4"/>
  <c r="H33" i="4" s="1"/>
  <c r="F24" i="4"/>
  <c r="E29" i="15" s="1"/>
  <c r="G29" i="15" s="1"/>
  <c r="D26" i="15"/>
  <c r="E24" i="16"/>
  <c r="E16" i="17"/>
  <c r="E17" i="17" s="1"/>
  <c r="B22" i="15"/>
  <c r="S32" i="5"/>
  <c r="F13" i="16"/>
  <c r="K25" i="16"/>
  <c r="F24" i="16"/>
  <c r="D28" i="15"/>
  <c r="E28" i="15" s="1"/>
  <c r="G28" i="15" s="1"/>
  <c r="F29" i="16" l="1"/>
  <c r="K27" i="16"/>
  <c r="E18" i="15"/>
  <c r="G17" i="15"/>
  <c r="K56" i="16"/>
  <c r="F44" i="16"/>
  <c r="J55" i="16"/>
  <c r="J61" i="16" s="1"/>
  <c r="F36" i="16"/>
  <c r="E37" i="16"/>
  <c r="F22" i="4"/>
  <c r="H22" i="4"/>
  <c r="F21" i="4"/>
  <c r="H21" i="4"/>
  <c r="E22" i="15"/>
  <c r="J27" i="12"/>
  <c r="J28" i="12" s="1"/>
  <c r="J29" i="12" s="1"/>
  <c r="E51" i="4" s="1"/>
  <c r="H51" i="4" s="1"/>
  <c r="C56" i="15" s="1"/>
  <c r="F23" i="12"/>
  <c r="D33" i="4"/>
  <c r="F25" i="4" l="1"/>
  <c r="F33" i="4" s="1"/>
  <c r="E27" i="15"/>
  <c r="G27" i="15" s="1"/>
  <c r="C60" i="15"/>
  <c r="K33" i="16"/>
  <c r="F37" i="16"/>
  <c r="E26" i="15"/>
  <c r="G26" i="15" s="1"/>
  <c r="K63" i="16"/>
  <c r="E20" i="17"/>
  <c r="E25" i="17" s="1"/>
  <c r="E33" i="17" s="1"/>
  <c r="E58" i="17" s="1"/>
  <c r="E25" i="15"/>
  <c r="G25" i="15" s="1"/>
  <c r="B30" i="15"/>
  <c r="B38" i="15" s="1"/>
  <c r="E52" i="4"/>
  <c r="F51" i="4"/>
  <c r="C52" i="17" s="1"/>
  <c r="E30" i="15" l="1"/>
  <c r="E38" i="15" s="1"/>
  <c r="E54" i="4"/>
  <c r="H54" i="4" s="1"/>
  <c r="H52" i="4"/>
  <c r="F52" i="4"/>
  <c r="F54" i="4" s="1"/>
  <c r="F55" i="4" s="1"/>
  <c r="B57" i="15"/>
  <c r="B59" i="15" s="1"/>
  <c r="B60" i="15" s="1"/>
  <c r="E52" i="17" l="1"/>
  <c r="E53" i="17" s="1"/>
  <c r="C53" i="17"/>
  <c r="C55" i="17" s="1"/>
  <c r="C56" i="17" s="1"/>
  <c r="E49" i="16" l="1"/>
  <c r="E51" i="16" s="1"/>
  <c r="E59" i="17"/>
  <c r="E55" i="17"/>
  <c r="F50" i="16" l="1"/>
  <c r="F51" i="16" s="1"/>
  <c r="J30" i="16"/>
  <c r="J33" i="16" s="1"/>
  <c r="J34" i="16" s="1"/>
  <c r="E65" i="16" s="1"/>
  <c r="F66" i="16" s="1"/>
  <c r="K57" i="16"/>
  <c r="E67" i="16" l="1"/>
  <c r="F67" i="16"/>
  <c r="K59" i="16"/>
  <c r="K61" i="16" s="1"/>
  <c r="K62" i="16" s="1"/>
  <c r="K64" i="16" l="1"/>
  <c r="D56" i="15"/>
  <c r="E56" i="15" l="1"/>
  <c r="E57" i="15" s="1"/>
  <c r="E59" i="15" s="1"/>
  <c r="E60" i="15" s="1"/>
  <c r="D60" i="15"/>
  <c r="E61" i="16"/>
</calcChain>
</file>

<file path=xl/comments1.xml><?xml version="1.0" encoding="utf-8"?>
<comments xmlns="http://schemas.openxmlformats.org/spreadsheetml/2006/main">
  <authors>
    <author>Manuel J. Olivieri G.</author>
  </authors>
  <commentList>
    <comment ref="J13" authorId="0">
      <text>
        <r>
          <rPr>
            <b/>
            <sz val="8"/>
            <color indexed="81"/>
            <rFont val="Tahoma"/>
          </rPr>
          <t>Manuel J. Olivieri G.:</t>
        </r>
        <r>
          <rPr>
            <sz val="8"/>
            <color indexed="81"/>
            <rFont val="Tahoma"/>
          </rPr>
          <t xml:space="preserve">
Esta es la formula para colocar en la columna L : =SI((J9&gt;F9);(I9+K9);SI((J9&lt;F9);((J9*I9)/F9);SI(J9=F9;I9;"ERROR"))) y esta basada en el Artículo  120 literal  L</t>
        </r>
      </text>
    </comment>
  </commentList>
</comments>
</file>

<file path=xl/sharedStrings.xml><?xml version="1.0" encoding="utf-8"?>
<sst xmlns="http://schemas.openxmlformats.org/spreadsheetml/2006/main" count="807" uniqueCount="299">
  <si>
    <t>CAJA</t>
  </si>
  <si>
    <t>BANCO</t>
  </si>
  <si>
    <t>INVENTARIO</t>
  </si>
  <si>
    <t>CUENTAS POR COBRAR</t>
  </si>
  <si>
    <t>SEGUROS PREPAGADOS</t>
  </si>
  <si>
    <t>PROPIEDAD PLANTA Y EQUIPOS</t>
  </si>
  <si>
    <t>MAQUINARIAS</t>
  </si>
  <si>
    <t>MOBILIARIO</t>
  </si>
  <si>
    <t>DEP. ACM. MAQUINARIAS</t>
  </si>
  <si>
    <t>DEP. ACM. MOBILIARIO</t>
  </si>
  <si>
    <t>TOTAL PROPIEDAD PLANTA Y EQUIPOS</t>
  </si>
  <si>
    <t>INVERSIONES</t>
  </si>
  <si>
    <t>INVERSION EN ACCIONES</t>
  </si>
  <si>
    <t>OTROS ACTIVOS</t>
  </si>
  <si>
    <t>DEPOSITOS DADOS EN GARANTIA</t>
  </si>
  <si>
    <t>PASIVO</t>
  </si>
  <si>
    <t>PASIVO CIRCULANTE</t>
  </si>
  <si>
    <t>CUENTAS POR PAGAR</t>
  </si>
  <si>
    <t>PASIVO A LARGO PLAZO</t>
  </si>
  <si>
    <t>PRESTAMOS A LARGO PLAZO</t>
  </si>
  <si>
    <t>PATRIMONIO</t>
  </si>
  <si>
    <t>CAPITAL</t>
  </si>
  <si>
    <t>RESERVA LEGAL</t>
  </si>
  <si>
    <t>UTILIDADES RETENIDAS</t>
  </si>
  <si>
    <t>ACTIVO CIRCULANTE</t>
  </si>
  <si>
    <t>TOTAL ACTIVO CIRCULANTE</t>
  </si>
  <si>
    <t>TOTAL PASIVO CIRCULANTE</t>
  </si>
  <si>
    <t>TOTAL PASIVO A LARGO PLAZO</t>
  </si>
  <si>
    <t>TOTAL PATRIMONIO</t>
  </si>
  <si>
    <t>TOTAL PASIVO Y PATRIMONIO</t>
  </si>
  <si>
    <t>TOTAL OTROS ACTIVOS</t>
  </si>
  <si>
    <t>TOTAL ACTIVOS</t>
  </si>
  <si>
    <t>ACTIVOS</t>
  </si>
  <si>
    <t>TOTAL INVERSIONES</t>
  </si>
  <si>
    <t>MAQUINA 1</t>
  </si>
  <si>
    <t>MAQUINA 2</t>
  </si>
  <si>
    <t>MAQUINA 3</t>
  </si>
  <si>
    <t>MAQUINA 4</t>
  </si>
  <si>
    <t>TIEMPO</t>
  </si>
  <si>
    <t>10 AÑOS</t>
  </si>
  <si>
    <t>FECHA AQ.</t>
  </si>
  <si>
    <t>MOBLIARIO 1</t>
  </si>
  <si>
    <t>MOBILIARIO 2</t>
  </si>
  <si>
    <t>5 AÑOS</t>
  </si>
  <si>
    <t>MONTO</t>
  </si>
  <si>
    <t>ACTIVO FIJO</t>
  </si>
  <si>
    <t>INVENTARIOS</t>
  </si>
  <si>
    <t>DESCRICION</t>
  </si>
  <si>
    <t>COSTO</t>
  </si>
  <si>
    <t>TOTAL</t>
  </si>
  <si>
    <t>PREPAGADOS</t>
  </si>
  <si>
    <t>POLIZA A</t>
  </si>
  <si>
    <t>12 meses</t>
  </si>
  <si>
    <t>POLIZA B</t>
  </si>
  <si>
    <t xml:space="preserve"> </t>
  </si>
  <si>
    <t>DATOS ADICIONALES</t>
  </si>
  <si>
    <t>BALANCE GENERAL AL 31/12</t>
  </si>
  <si>
    <t>MONTO HISTORICO</t>
  </si>
  <si>
    <t>UND</t>
  </si>
  <si>
    <t>RESERVA</t>
  </si>
  <si>
    <t>SALDO 05</t>
  </si>
  <si>
    <t>CUENTAS POR COBRAR SOCIOS</t>
  </si>
  <si>
    <t>CUENTAS POR COBRAR RELACIONADAS</t>
  </si>
  <si>
    <t>TERRENO</t>
  </si>
  <si>
    <t>Fecha de Cierre</t>
  </si>
  <si>
    <t>Descripción del Activo</t>
  </si>
  <si>
    <t>Fecha de Adquisición.</t>
  </si>
  <si>
    <t>IPC Fecha de Cierre</t>
  </si>
  <si>
    <t>IPC Fecha Adquisición</t>
  </si>
  <si>
    <t>Costo Adquisición Actualizado al Cierre del Ejercicio</t>
  </si>
  <si>
    <t xml:space="preserve">Depreciacion Acumulada Historica al cierre del Ejercicio </t>
  </si>
  <si>
    <t>Depreciación Acumulada Ajustada al cierre del Ejercicio</t>
  </si>
  <si>
    <t>Ajuste Inicial por Inflación de los Costos Historicos</t>
  </si>
  <si>
    <t xml:space="preserve">Ajuste Inicial por Inflación de las depreciaciones Acumuladas </t>
  </si>
  <si>
    <t xml:space="preserve">Ajuste Inicial por Inflación Neto </t>
  </si>
  <si>
    <t>TOTALES GENERALES</t>
  </si>
  <si>
    <t>Factor   Adquisición</t>
  </si>
  <si>
    <t xml:space="preserve">Costo           Historico Ejercicio Anterior      </t>
  </si>
  <si>
    <t>RAA 3%</t>
  </si>
  <si>
    <t>SALDO 06</t>
  </si>
  <si>
    <t>LA SEGUNDA C.A.</t>
  </si>
  <si>
    <t>J-555555555-5</t>
  </si>
  <si>
    <t xml:space="preserve">Fecha de Cierre al </t>
  </si>
  <si>
    <t>Descripcion de la Clase de Inventario</t>
  </si>
  <si>
    <t>Fecha iniciación de operaciones</t>
  </si>
  <si>
    <t>IPC del mes correspondiente al cierre Primer Ejercicio Gravable</t>
  </si>
  <si>
    <t>IPC del mes correspondiente al Inicio de operaciones</t>
  </si>
  <si>
    <t>Factor de Actualización</t>
  </si>
  <si>
    <t>Suma Total en Bs. Históricos de la clase de Inventario Inicial</t>
  </si>
  <si>
    <t>Suma Total Actualizada de la clase de Inventario Inicial  a la fecha de inicio de operaciones</t>
  </si>
  <si>
    <t>Suma Total en Bs. Históricos de la clase de Inventario Final</t>
  </si>
  <si>
    <t>Incremento total en Bs. Históricos del Inventario Final en relación con el inventario Inicial</t>
  </si>
  <si>
    <t>Ajuste Inicial Por Inflacion del Inventario</t>
  </si>
  <si>
    <t>Totales Generales</t>
  </si>
  <si>
    <t>Listado Según Artículo  104  P5  del RLISLR 2003</t>
  </si>
  <si>
    <t>J-55555555-5</t>
  </si>
  <si>
    <t>INVENTARIO DE MERCANCIA</t>
  </si>
  <si>
    <t xml:space="preserve">Inventario Final por clases Actualizado </t>
  </si>
  <si>
    <t>ART. 107 Y 192 RLISLAR ART. 123 LISLR</t>
  </si>
  <si>
    <t>AJUSTES</t>
  </si>
  <si>
    <t>TIPO</t>
  </si>
  <si>
    <t>M</t>
  </si>
  <si>
    <t>NM</t>
  </si>
  <si>
    <t>DEBE</t>
  </si>
  <si>
    <t>HABER</t>
  </si>
  <si>
    <t>EXCLUSIONES FISCALES HISTORICAS DEL PATRIMONIO</t>
  </si>
  <si>
    <t>ACTUALIZACION DEL PATRIMONIO</t>
  </si>
  <si>
    <t>ART. 192 RLISLAR ART. 123 LISLR</t>
  </si>
  <si>
    <t xml:space="preserve">DEBE </t>
  </si>
  <si>
    <t>SALDO</t>
  </si>
  <si>
    <t>ACITVOS FIJOS</t>
  </si>
  <si>
    <t>HISTORICO</t>
  </si>
  <si>
    <t>CUENTAS POR COBRAR SOCIO</t>
  </si>
  <si>
    <t>CIERRE</t>
  </si>
  <si>
    <t>CUENTAS POR COBRAR COMPAÑIAS RELACIONADAS</t>
  </si>
  <si>
    <t>DIF</t>
  </si>
  <si>
    <t>AJUSTE INICIAL POR INFLACION FISCAL</t>
  </si>
  <si>
    <t>REAJUSTE REGUALR POR INFLACION FISCAL</t>
  </si>
  <si>
    <t>CUENTAS</t>
  </si>
  <si>
    <t>Balance Fiscal Ajustado</t>
  </si>
  <si>
    <t>REAJUSTE REGULAR POR INFLACION FISCAL</t>
  </si>
  <si>
    <t>"A"</t>
  </si>
  <si>
    <t>"B"</t>
  </si>
  <si>
    <t>"C"</t>
  </si>
  <si>
    <t>"D"</t>
  </si>
  <si>
    <t>"E"</t>
  </si>
  <si>
    <t>"F"</t>
  </si>
  <si>
    <t>"G"</t>
  </si>
  <si>
    <t>"H"</t>
  </si>
  <si>
    <t>"I"</t>
  </si>
  <si>
    <t>"J"</t>
  </si>
  <si>
    <t>"K"</t>
  </si>
  <si>
    <t>"L1"</t>
  </si>
  <si>
    <t>"L2"</t>
  </si>
  <si>
    <t>"L3"</t>
  </si>
  <si>
    <t>"M"</t>
  </si>
  <si>
    <t>"N"</t>
  </si>
  <si>
    <t>FECHA</t>
  </si>
  <si>
    <t xml:space="preserve">I.P.C. </t>
  </si>
  <si>
    <t>FACTOR</t>
  </si>
  <si>
    <t>TOTAL VALOR</t>
  </si>
  <si>
    <t>VALOR NETO</t>
  </si>
  <si>
    <t xml:space="preserve">AJUSTE </t>
  </si>
  <si>
    <t>VALOR INICIAL</t>
  </si>
  <si>
    <t>REAJUSTE</t>
  </si>
  <si>
    <t>DESCRIPCION</t>
  </si>
  <si>
    <t>DE CIERRE</t>
  </si>
  <si>
    <t>DE ACTUALIZ.</t>
  </si>
  <si>
    <t>S/ LIBROS</t>
  </si>
  <si>
    <t>REAJUSTADO</t>
  </si>
  <si>
    <t>ACUMULADO</t>
  </si>
  <si>
    <t>EXCEDENTE</t>
  </si>
  <si>
    <t>FINAL</t>
  </si>
  <si>
    <t>R.P.I. NETO</t>
  </si>
  <si>
    <t>ANTERIOR</t>
  </si>
  <si>
    <t>ACTUAL</t>
  </si>
  <si>
    <t>DEL INICIO</t>
  </si>
  <si>
    <t>ACTUALIZADO</t>
  </si>
  <si>
    <t>TOTALES</t>
  </si>
  <si>
    <t>"L"</t>
  </si>
  <si>
    <t>"0"</t>
  </si>
  <si>
    <t>"P"</t>
  </si>
  <si>
    <t>"Q"</t>
  </si>
  <si>
    <t>"R"</t>
  </si>
  <si>
    <t>S1</t>
  </si>
  <si>
    <t>S2</t>
  </si>
  <si>
    <t>S3</t>
  </si>
  <si>
    <t xml:space="preserve">COSTO  </t>
  </si>
  <si>
    <t>DEP.ACUM.</t>
  </si>
  <si>
    <t>DEPREC. ACUM.</t>
  </si>
  <si>
    <t>AJUS/INFLAC.</t>
  </si>
  <si>
    <t>DEPRECIACION</t>
  </si>
  <si>
    <t>TARJETA</t>
  </si>
  <si>
    <t>DE</t>
  </si>
  <si>
    <t>MES DE</t>
  </si>
  <si>
    <t>HISTORICA</t>
  </si>
  <si>
    <t>ACTUALIZADA</t>
  </si>
  <si>
    <t>ACUM. HISTORICA</t>
  </si>
  <si>
    <t>REGULAR NETO</t>
  </si>
  <si>
    <t>No.</t>
  </si>
  <si>
    <t>ADQUISICON</t>
  </si>
  <si>
    <t>ADQUIS.</t>
  </si>
  <si>
    <t>AMORT.ACUM.</t>
  </si>
  <si>
    <t xml:space="preserve"> DEL</t>
  </si>
  <si>
    <t>ACTIVO</t>
  </si>
  <si>
    <t>TOTAL SEGUROS PREPAGADOS</t>
  </si>
  <si>
    <t xml:space="preserve">Descripción </t>
  </si>
  <si>
    <t xml:space="preserve">Fecha </t>
  </si>
  <si>
    <t xml:space="preserve">Factor </t>
  </si>
  <si>
    <t>Monto</t>
  </si>
  <si>
    <t xml:space="preserve">Monto </t>
  </si>
  <si>
    <t>Reajuste</t>
  </si>
  <si>
    <t>( Resumen para asiento Fiscal )</t>
  </si>
  <si>
    <t>Del</t>
  </si>
  <si>
    <t xml:space="preserve">del </t>
  </si>
  <si>
    <t>Cierre</t>
  </si>
  <si>
    <t xml:space="preserve"> de</t>
  </si>
  <si>
    <t xml:space="preserve"> Histórico</t>
  </si>
  <si>
    <t>Actualizado</t>
  </si>
  <si>
    <t xml:space="preserve">Por </t>
  </si>
  <si>
    <t>Aumento o</t>
  </si>
  <si>
    <t>o Aumento</t>
  </si>
  <si>
    <t xml:space="preserve">Ejercicio </t>
  </si>
  <si>
    <t xml:space="preserve">Actualización </t>
  </si>
  <si>
    <t>del Aumento</t>
  </si>
  <si>
    <t>Inflación</t>
  </si>
  <si>
    <t>Aumento</t>
  </si>
  <si>
    <t>Disminución</t>
  </si>
  <si>
    <t>Actual</t>
  </si>
  <si>
    <t>del Ejercicio</t>
  </si>
  <si>
    <t>o Disminución</t>
  </si>
  <si>
    <t>( h )</t>
  </si>
  <si>
    <t xml:space="preserve">Total </t>
  </si>
  <si>
    <t>ART 104 RISLR LITERAL K</t>
  </si>
  <si>
    <t xml:space="preserve">                ACTUALIZACION DEL PATRIMONIO</t>
  </si>
  <si>
    <t>INVERSIONES EN ACCIONES</t>
  </si>
  <si>
    <t>MOBILIARIO 1</t>
  </si>
  <si>
    <t>MAQUINARIA</t>
  </si>
  <si>
    <t>REAJUSTE REGULAR POR INFLACION</t>
  </si>
  <si>
    <t>TOTAL ACTIVOS FIJOS</t>
  </si>
  <si>
    <t>CUENTAS POR COBRAR CIAS. RELACIONADAS</t>
  </si>
  <si>
    <t>REAJUSTE POR INFLACION</t>
  </si>
  <si>
    <t>AUMENTO</t>
  </si>
  <si>
    <t>ART. 111 Y 192 RLISLAR ART. 123 LISLR</t>
  </si>
  <si>
    <t>EXCLUSIONES FISCALES HISTORICAS DEL PATRIMONIO ( AJUSTE )</t>
  </si>
  <si>
    <t>EXCLUSIONES FISCALES HISTORICAS DEL PATRIMONIO ( CUENTAS )</t>
  </si>
  <si>
    <t>CTAS POR COBRAR RELACIONADAS</t>
  </si>
  <si>
    <t>CTAS POR COBRAR SOCIO</t>
  </si>
  <si>
    <t>ASIENTO PARA CERRAR LA CUENTA DE REAJUSTE</t>
  </si>
  <si>
    <t>CASILLA 53 DE LA FORMA 26 PN</t>
  </si>
  <si>
    <t xml:space="preserve">REAJUSTE REGULAR </t>
  </si>
  <si>
    <t>ASIENTO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</si>
  <si>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</si>
  <si>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</si>
  <si>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</si>
  <si>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</si>
  <si>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</si>
  <si>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</si>
  <si>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</si>
  <si>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</si>
  <si>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</si>
  <si>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</si>
  <si>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</si>
  <si>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I</t>
  </si>
  <si>
    <t>L</t>
  </si>
  <si>
    <t>TOTALES INVERSIONES</t>
  </si>
  <si>
    <t>SALDO ANTERIOR</t>
  </si>
  <si>
    <t>Actualizacion del Patrimonio</t>
  </si>
  <si>
    <t>PROVISIONES</t>
  </si>
  <si>
    <t>AMORT. ACUM. 2014</t>
  </si>
  <si>
    <t>DEP ACM. 2014</t>
  </si>
  <si>
    <t>M.D.2014</t>
  </si>
  <si>
    <t>ADQUIRIDA MAYO 2014</t>
  </si>
  <si>
    <t>ACTIVOS NO MONETARIOS (AMORTIZABLES)  AL 31/12/2014</t>
  </si>
  <si>
    <t>Listado Según Artículo  105 N1 del RLISLR  2014</t>
  </si>
  <si>
    <t>ACTIVOS NO MONETARIOS (FIJOS DEPRECIABLES)  AL 31/12/2014</t>
  </si>
  <si>
    <t>ASIENTOS FISCALES AL 31-12-2014</t>
  </si>
  <si>
    <t>LIBRO MAYOR FISCAL AL 31-12-2014</t>
  </si>
  <si>
    <t>BALANCE GENERAL FISACL ACTUALIZADO AL 31-12-2014</t>
  </si>
  <si>
    <t>2014 HISTORICO</t>
  </si>
  <si>
    <t>2014 AJUSTADO</t>
  </si>
  <si>
    <t>AL 31-12-2014</t>
  </si>
  <si>
    <t>IPC 31/12/2014</t>
  </si>
  <si>
    <t>AMORT ACUM 2015</t>
  </si>
  <si>
    <t>DEP ACM. 2015</t>
  </si>
  <si>
    <t>M.D.2015</t>
  </si>
  <si>
    <t>ACTIVOS NO MONETARIOS (DEPRECIABLES)  AL 31/12/2015</t>
  </si>
  <si>
    <t>Listado Según Artículo  117  del RLISLR  2015</t>
  </si>
  <si>
    <t>AL 31-12-2015</t>
  </si>
  <si>
    <t>ACTIVOS NO MONETARIOS (AMORTIZABLES)  AL 31/12/2015</t>
  </si>
  <si>
    <t>BALANCE GENERAL FISACL ACTUALIZADO AL 31-12-2015</t>
  </si>
  <si>
    <t>INVENTARIOS  AL 31/12/2015</t>
  </si>
  <si>
    <t>Listado Según Artículo  120  del RLISLR  2015</t>
  </si>
  <si>
    <t xml:space="preserve"> CAPITAL SOCIALÇ  AL 31/12/2015</t>
  </si>
  <si>
    <t>Listado Según Artículo  114 N 1  del RLISLR  2015</t>
  </si>
  <si>
    <t>EXCLUSIONES FISCALES HISTORICAS DEL PATRIMONIO  AL 31/12/2015</t>
  </si>
  <si>
    <t>Listado Según Artículo  114 N 4  del RLISLR  2015</t>
  </si>
  <si>
    <t>ASIENTOS FISCALES AL 31-12-2015</t>
  </si>
  <si>
    <t>BALANCE GENERAL FISCAL ACTUALIZADO AL 31-12-2015</t>
  </si>
  <si>
    <t>IPC</t>
  </si>
  <si>
    <t>INPC</t>
  </si>
  <si>
    <t>Indice</t>
  </si>
  <si>
    <t>Var%</t>
  </si>
  <si>
    <t>Mes-Año</t>
  </si>
  <si>
    <t>CIERRE 2015</t>
  </si>
  <si>
    <t>CIERRE 2014</t>
  </si>
  <si>
    <t>Ajuste Acumulado</t>
  </si>
  <si>
    <t>Ajuste del Año</t>
  </si>
  <si>
    <t>Saldo Historico 2015</t>
  </si>
  <si>
    <t>Ajuste Acumulado Anterior</t>
  </si>
  <si>
    <t>Rajuste por Inflacion del Periodo</t>
  </si>
  <si>
    <t>Provision Prestaciones</t>
  </si>
  <si>
    <t>INPC-IPC</t>
  </si>
  <si>
    <t>INPC Mes</t>
  </si>
  <si>
    <t>INPC 31/12/2015</t>
  </si>
  <si>
    <t>IPC-INPC</t>
  </si>
  <si>
    <t>INPC  Mes</t>
  </si>
  <si>
    <t>COMPROBACION</t>
  </si>
  <si>
    <t>AJUSTE DEL CAPITAL (AUMENTO)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</si>
</sst>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 * #,##0.00_ ;_ * \-#,##0.00_ ;_ * &quot;-&quot;??_ ;_ @_ "/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_(* #,##0_);_(* \(#,##0\);_(* &quot;-&quot;??_);_(@_)"/>
    <numFmt numFmtId="168" formatCode="mmmm\-\ yyyy"/>
    <numFmt numFmtId="169" formatCode="\ mmmm\-\ yyyy"/>
    <numFmt numFmtId="170" formatCode="mmmm\-yyyy"/>
    <numFmt numFmtId="171" formatCode="[$-C0A]mmmm\-yy;@"/>
    <numFmt numFmtId="172" formatCode="#,##0.00000_);\(#,##0.00000\)"/>
    <numFmt numFmtId="174" formatCode="0.00000"/>
    <numFmt numFmtId="175" formatCode="#,##0.00000\ ;\(#,##0.00000\)"/>
    <numFmt numFmtId="176" formatCode="#,##0.00000"/>
    <numFmt numFmtId="177" formatCode="d\-mmmm\-yyyy"/>
    <numFmt numFmtId="179" formatCode="d\-mmm\-yy"/>
    <numFmt numFmtId="180" formatCode="#,##0.00000_);[Red]\(#,##0.00000\)"/>
    <numFmt numFmtId="181" formatCode="#,##0.000_ ;\-#,##0.000\ "/>
    <numFmt numFmtId="182" formatCode="#,##0.000_);\(#,##0.000\)"/>
    <numFmt numFmtId="183" formatCode="#,##0.0_ ;\-#,##0.0\ "/>
    <numFmt numFmtId="184" formatCode="#,##0.0"/>
    <numFmt numFmtId="185" formatCode="#,##0.00_ ;\-#,##0.00\ "/>
    <numFmt numFmtId="186" formatCode="#,##0_);\(#,##0\)"/>
  </numFmts>
  <fonts count="3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color indexed="10"/>
      <name val="Arial Narrow"/>
      <family val="2"/>
    </font>
    <font>
      <b/>
      <i/>
      <u val="singleAccounting"/>
      <sz val="12"/>
      <name val="Arial Narrow"/>
      <family val="2"/>
    </font>
    <font>
      <b/>
      <u/>
      <sz val="11"/>
      <name val="Arial Narrow"/>
      <family val="2"/>
    </font>
    <font>
      <b/>
      <sz val="11"/>
      <color indexed="10"/>
      <name val="Arial Narrow"/>
      <family val="2"/>
    </font>
    <font>
      <b/>
      <i/>
      <sz val="11"/>
      <name val="Arial Narrow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i/>
      <sz val="10"/>
      <name val="Arial Narrow"/>
      <family val="2"/>
    </font>
    <font>
      <b/>
      <sz val="20"/>
      <name val="Arial Narrow"/>
      <family val="2"/>
    </font>
    <font>
      <b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566">
    <xf numFmtId="0" fontId="0" fillId="0" borderId="0" xfId="0"/>
    <xf numFmtId="0" fontId="2" fillId="0" borderId="0" xfId="0" applyFont="1"/>
    <xf numFmtId="164" fontId="0" fillId="0" borderId="0" xfId="1" applyFont="1"/>
    <xf numFmtId="0" fontId="2" fillId="0" borderId="0" xfId="0" applyFont="1" applyAlignment="1">
      <alignment horizontal="center"/>
    </xf>
    <xf numFmtId="0" fontId="0" fillId="0" borderId="2" xfId="0" applyBorder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0" xfId="0" applyBorder="1"/>
    <xf numFmtId="167" fontId="0" fillId="0" borderId="0" xfId="1" applyNumberFormat="1" applyFont="1"/>
    <xf numFmtId="164" fontId="1" fillId="0" borderId="0" xfId="1"/>
    <xf numFmtId="3" fontId="0" fillId="0" borderId="0" xfId="0" applyNumberFormat="1"/>
    <xf numFmtId="3" fontId="0" fillId="0" borderId="1" xfId="0" applyNumberFormat="1" applyBorder="1"/>
    <xf numFmtId="0" fontId="0" fillId="0" borderId="0" xfId="0" applyAlignment="1">
      <alignment horizontal="left"/>
    </xf>
    <xf numFmtId="0" fontId="0" fillId="0" borderId="1" xfId="0" applyBorder="1"/>
    <xf numFmtId="39" fontId="0" fillId="0" borderId="0" xfId="0" applyNumberFormat="1"/>
    <xf numFmtId="39" fontId="0" fillId="0" borderId="0" xfId="0" applyNumberFormat="1" applyAlignment="1">
      <alignment horizontal="center"/>
    </xf>
    <xf numFmtId="39" fontId="0" fillId="0" borderId="1" xfId="0" applyNumberFormat="1" applyBorder="1"/>
    <xf numFmtId="3" fontId="0" fillId="0" borderId="2" xfId="0" applyNumberFormat="1" applyBorder="1"/>
    <xf numFmtId="0" fontId="9" fillId="0" borderId="0" xfId="0" applyFont="1" applyFill="1" applyAlignment="1" applyProtection="1"/>
    <xf numFmtId="3" fontId="15" fillId="0" borderId="0" xfId="0" applyNumberFormat="1" applyFont="1" applyFill="1" applyAlignment="1" applyProtection="1">
      <alignment horizontal="left"/>
    </xf>
    <xf numFmtId="0" fontId="12" fillId="0" borderId="0" xfId="0" applyFont="1"/>
    <xf numFmtId="3" fontId="16" fillId="0" borderId="0" xfId="0" applyNumberFormat="1" applyFont="1" applyFill="1" applyAlignment="1" applyProtection="1">
      <alignment horizontal="left"/>
    </xf>
    <xf numFmtId="0" fontId="17" fillId="0" borderId="0" xfId="0" applyFont="1" applyFill="1" applyAlignment="1" applyProtection="1"/>
    <xf numFmtId="0" fontId="18" fillId="0" borderId="0" xfId="0" applyFont="1"/>
    <xf numFmtId="14" fontId="16" fillId="0" borderId="0" xfId="0" applyNumberFormat="1" applyFont="1" applyFill="1" applyAlignment="1" applyProtection="1">
      <alignment horizontal="left"/>
    </xf>
    <xf numFmtId="177" fontId="17" fillId="0" borderId="0" xfId="0" applyNumberFormat="1" applyFont="1" applyFill="1" applyAlignment="1" applyProtection="1">
      <alignment horizontal="left"/>
    </xf>
    <xf numFmtId="0" fontId="19" fillId="0" borderId="8" xfId="0" applyFont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2" xfId="0" applyFont="1" applyBorder="1"/>
    <xf numFmtId="0" fontId="18" fillId="0" borderId="13" xfId="0" applyFont="1" applyBorder="1" applyAlignment="1">
      <alignment horizontal="center" wrapText="1"/>
    </xf>
    <xf numFmtId="0" fontId="18" fillId="0" borderId="13" xfId="0" applyFont="1" applyBorder="1"/>
    <xf numFmtId="0" fontId="18" fillId="0" borderId="2" xfId="0" applyFont="1" applyBorder="1"/>
    <xf numFmtId="14" fontId="18" fillId="0" borderId="2" xfId="0" applyNumberFormat="1" applyFont="1" applyBorder="1"/>
    <xf numFmtId="174" fontId="18" fillId="0" borderId="2" xfId="0" applyNumberFormat="1" applyFont="1" applyBorder="1"/>
    <xf numFmtId="0" fontId="19" fillId="0" borderId="2" xfId="0" applyFont="1" applyFill="1" applyBorder="1"/>
    <xf numFmtId="0" fontId="18" fillId="0" borderId="2" xfId="0" applyFont="1" applyFill="1" applyBorder="1"/>
    <xf numFmtId="176" fontId="18" fillId="0" borderId="0" xfId="0" applyNumberFormat="1" applyFont="1"/>
    <xf numFmtId="176" fontId="19" fillId="0" borderId="8" xfId="0" applyNumberFormat="1" applyFont="1" applyBorder="1" applyAlignment="1">
      <alignment horizontal="center" wrapText="1"/>
    </xf>
    <xf numFmtId="176" fontId="19" fillId="0" borderId="13" xfId="0" applyNumberFormat="1" applyFont="1" applyBorder="1" applyAlignment="1">
      <alignment horizontal="center" wrapText="1"/>
    </xf>
    <xf numFmtId="176" fontId="18" fillId="0" borderId="2" xfId="0" applyNumberFormat="1" applyFont="1" applyFill="1" applyBorder="1"/>
    <xf numFmtId="164" fontId="18" fillId="0" borderId="2" xfId="1" applyFont="1" applyBorder="1"/>
    <xf numFmtId="164" fontId="19" fillId="0" borderId="2" xfId="1" applyFont="1" applyFill="1" applyBorder="1"/>
    <xf numFmtId="164" fontId="18" fillId="0" borderId="2" xfId="1" applyFont="1" applyFill="1" applyBorder="1"/>
    <xf numFmtId="164" fontId="18" fillId="0" borderId="0" xfId="1" applyFont="1"/>
    <xf numFmtId="39" fontId="18" fillId="0" borderId="0" xfId="1" applyNumberFormat="1" applyFont="1"/>
    <xf numFmtId="0" fontId="20" fillId="0" borderId="0" xfId="0" applyFont="1"/>
    <xf numFmtId="0" fontId="14" fillId="0" borderId="13" xfId="0" applyFont="1" applyBorder="1" applyAlignment="1">
      <alignment horizontal="center" wrapText="1"/>
    </xf>
    <xf numFmtId="3" fontId="8" fillId="0" borderId="0" xfId="0" applyNumberFormat="1" applyFont="1" applyFill="1" applyAlignment="1" applyProtection="1">
      <alignment horizontal="right"/>
    </xf>
    <xf numFmtId="167" fontId="14" fillId="0" borderId="0" xfId="1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0" xfId="0" applyFont="1"/>
    <xf numFmtId="166" fontId="8" fillId="0" borderId="0" xfId="0" applyNumberFormat="1" applyFont="1" applyFill="1" applyAlignment="1" applyProtection="1">
      <alignment horizontal="left"/>
    </xf>
    <xf numFmtId="0" fontId="8" fillId="0" borderId="0" xfId="0" applyFont="1" applyFill="1" applyAlignment="1" applyProtection="1"/>
    <xf numFmtId="177" fontId="8" fillId="0" borderId="0" xfId="0" applyNumberFormat="1" applyFont="1" applyFill="1" applyAlignment="1" applyProtection="1">
      <alignment horizontal="left"/>
    </xf>
    <xf numFmtId="0" fontId="9" fillId="0" borderId="0" xfId="0" quotePrefix="1" applyFont="1" applyFill="1" applyAlignment="1" applyProtection="1">
      <alignment horizontal="left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 applyProtection="1">
      <alignment horizontal="center" wrapText="1"/>
    </xf>
    <xf numFmtId="0" fontId="13" fillId="0" borderId="14" xfId="0" applyFont="1" applyFill="1" applyBorder="1" applyAlignment="1" applyProtection="1">
      <alignment horizontal="center" wrapText="1" shrinkToFit="1"/>
    </xf>
    <xf numFmtId="167" fontId="13" fillId="0" borderId="14" xfId="1" applyNumberFormat="1" applyFont="1" applyFill="1" applyBorder="1" applyAlignment="1" applyProtection="1">
      <alignment horizontal="center" wrapText="1"/>
    </xf>
    <xf numFmtId="4" fontId="13" fillId="0" borderId="14" xfId="0" applyNumberFormat="1" applyFont="1" applyFill="1" applyBorder="1" applyAlignment="1" applyProtection="1">
      <alignment horizontal="center" wrapText="1"/>
    </xf>
    <xf numFmtId="4" fontId="13" fillId="0" borderId="15" xfId="0" applyNumberFormat="1" applyFont="1" applyFill="1" applyBorder="1" applyAlignment="1" applyProtection="1">
      <alignment horizontal="center" wrapText="1"/>
    </xf>
    <xf numFmtId="4" fontId="13" fillId="0" borderId="16" xfId="0" applyNumberFormat="1" applyFont="1" applyFill="1" applyBorder="1" applyAlignment="1" applyProtection="1">
      <alignment horizontal="center" wrapText="1"/>
    </xf>
    <xf numFmtId="4" fontId="13" fillId="0" borderId="17" xfId="0" applyNumberFormat="1" applyFont="1" applyFill="1" applyBorder="1" applyAlignment="1" applyProtection="1">
      <alignment horizontal="center" wrapText="1"/>
    </xf>
    <xf numFmtId="0" fontId="13" fillId="0" borderId="0" xfId="0" applyFont="1"/>
    <xf numFmtId="0" fontId="14" fillId="0" borderId="2" xfId="0" applyFont="1" applyBorder="1"/>
    <xf numFmtId="167" fontId="14" fillId="0" borderId="2" xfId="1" applyNumberFormat="1" applyFont="1" applyBorder="1"/>
    <xf numFmtId="0" fontId="13" fillId="0" borderId="2" xfId="0" applyFont="1" applyBorder="1"/>
    <xf numFmtId="14" fontId="14" fillId="0" borderId="2" xfId="0" applyNumberFormat="1" applyFont="1" applyBorder="1"/>
    <xf numFmtId="174" fontId="14" fillId="0" borderId="2" xfId="0" applyNumberFormat="1" applyFont="1" applyBorder="1"/>
    <xf numFmtId="3" fontId="14" fillId="0" borderId="2" xfId="1" applyNumberFormat="1" applyFont="1" applyBorder="1"/>
    <xf numFmtId="3" fontId="14" fillId="0" borderId="2" xfId="0" applyNumberFormat="1" applyFont="1" applyBorder="1"/>
    <xf numFmtId="0" fontId="13" fillId="0" borderId="18" xfId="0" applyFont="1" applyFill="1" applyBorder="1"/>
    <xf numFmtId="0" fontId="14" fillId="0" borderId="19" xfId="0" applyFont="1" applyFill="1" applyBorder="1"/>
    <xf numFmtId="3" fontId="13" fillId="0" borderId="19" xfId="1" applyNumberFormat="1" applyFont="1" applyFill="1" applyBorder="1"/>
    <xf numFmtId="164" fontId="14" fillId="0" borderId="0" xfId="1" applyFont="1"/>
    <xf numFmtId="164" fontId="14" fillId="0" borderId="0" xfId="1" applyFont="1" applyBorder="1"/>
    <xf numFmtId="164" fontId="13" fillId="0" borderId="0" xfId="1" applyFont="1"/>
    <xf numFmtId="37" fontId="18" fillId="0" borderId="0" xfId="1" applyNumberFormat="1" applyFont="1"/>
    <xf numFmtId="177" fontId="15" fillId="0" borderId="0" xfId="0" applyNumberFormat="1" applyFont="1" applyFill="1" applyAlignment="1" applyProtection="1">
      <alignment horizontal="left"/>
    </xf>
    <xf numFmtId="0" fontId="14" fillId="0" borderId="0" xfId="0" applyFont="1" applyBorder="1"/>
    <xf numFmtId="164" fontId="14" fillId="0" borderId="0" xfId="1" applyFont="1" applyBorder="1" applyAlignment="1">
      <alignment horizontal="center"/>
    </xf>
    <xf numFmtId="164" fontId="21" fillId="0" borderId="0" xfId="1" applyFont="1" applyBorder="1"/>
    <xf numFmtId="176" fontId="13" fillId="0" borderId="13" xfId="0" applyNumberFormat="1" applyFont="1" applyBorder="1" applyAlignment="1">
      <alignment horizontal="center" wrapText="1"/>
    </xf>
    <xf numFmtId="164" fontId="14" fillId="0" borderId="13" xfId="1" applyFont="1" applyBorder="1" applyAlignment="1">
      <alignment horizontal="center" wrapText="1"/>
    </xf>
    <xf numFmtId="0" fontId="13" fillId="0" borderId="0" xfId="0" applyFont="1" applyBorder="1"/>
    <xf numFmtId="164" fontId="13" fillId="0" borderId="0" xfId="1" applyFont="1" applyBorder="1"/>
    <xf numFmtId="165" fontId="14" fillId="0" borderId="0" xfId="0" applyNumberFormat="1" applyFont="1" applyBorder="1"/>
    <xf numFmtId="0" fontId="22" fillId="0" borderId="0" xfId="0" applyFont="1" applyAlignment="1">
      <alignment horizontal="center"/>
    </xf>
    <xf numFmtId="0" fontId="14" fillId="0" borderId="0" xfId="0" applyFont="1" applyAlignment="1"/>
    <xf numFmtId="1" fontId="13" fillId="0" borderId="21" xfId="0" applyNumberFormat="1" applyFont="1" applyBorder="1"/>
    <xf numFmtId="1" fontId="13" fillId="0" borderId="14" xfId="0" applyNumberFormat="1" applyFont="1" applyBorder="1" applyAlignment="1">
      <alignment horizontal="center"/>
    </xf>
    <xf numFmtId="3" fontId="13" fillId="0" borderId="22" xfId="0" applyNumberFormat="1" applyFont="1" applyBorder="1" applyAlignment="1" applyProtection="1">
      <alignment horizontal="center"/>
    </xf>
    <xf numFmtId="3" fontId="13" fillId="0" borderId="14" xfId="0" applyNumberFormat="1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/>
    </xf>
    <xf numFmtId="4" fontId="13" fillId="0" borderId="22" xfId="0" applyNumberFormat="1" applyFont="1" applyBorder="1" applyAlignment="1" applyProtection="1">
      <alignment horizontal="center"/>
    </xf>
    <xf numFmtId="37" fontId="13" fillId="0" borderId="14" xfId="1" applyNumberFormat="1" applyFont="1" applyBorder="1" applyAlignment="1" applyProtection="1">
      <alignment horizontal="center"/>
    </xf>
    <xf numFmtId="0" fontId="13" fillId="0" borderId="0" xfId="0" applyFont="1" applyBorder="1" applyAlignment="1"/>
    <xf numFmtId="1" fontId="13" fillId="0" borderId="20" xfId="0" applyNumberFormat="1" applyFont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3" fontId="13" fillId="0" borderId="0" xfId="0" applyNumberFormat="1" applyFont="1" applyBorder="1" applyAlignment="1" applyProtection="1">
      <alignment horizontal="center"/>
    </xf>
    <xf numFmtId="3" fontId="13" fillId="0" borderId="23" xfId="0" applyNumberFormat="1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4" fontId="13" fillId="0" borderId="0" xfId="0" applyNumberFormat="1" applyFont="1" applyBorder="1" applyAlignment="1" applyProtection="1">
      <alignment horizontal="center"/>
    </xf>
    <xf numFmtId="37" fontId="13" fillId="0" borderId="23" xfId="1" applyNumberFormat="1" applyFont="1" applyBorder="1" applyAlignment="1" applyProtection="1">
      <alignment horizontal="center"/>
    </xf>
    <xf numFmtId="1" fontId="13" fillId="0" borderId="18" xfId="0" applyNumberFormat="1" applyFont="1" applyBorder="1" applyAlignment="1" applyProtection="1">
      <alignment horizontal="center"/>
    </xf>
    <xf numFmtId="1" fontId="13" fillId="0" borderId="24" xfId="0" applyNumberFormat="1" applyFont="1" applyBorder="1" applyAlignment="1" applyProtection="1">
      <alignment horizontal="center"/>
    </xf>
    <xf numFmtId="3" fontId="13" fillId="0" borderId="19" xfId="0" applyNumberFormat="1" applyFont="1" applyBorder="1" applyAlignment="1" applyProtection="1">
      <alignment horizontal="center"/>
    </xf>
    <xf numFmtId="1" fontId="13" fillId="0" borderId="19" xfId="0" applyNumberFormat="1" applyFont="1" applyBorder="1" applyAlignment="1" applyProtection="1">
      <alignment horizontal="center"/>
    </xf>
    <xf numFmtId="3" fontId="13" fillId="0" borderId="24" xfId="0" applyNumberFormat="1" applyFont="1" applyBorder="1" applyAlignment="1" applyProtection="1">
      <alignment horizontal="center"/>
    </xf>
    <xf numFmtId="4" fontId="13" fillId="0" borderId="19" xfId="0" applyNumberFormat="1" applyFont="1" applyBorder="1" applyAlignment="1" applyProtection="1">
      <alignment horizontal="center"/>
    </xf>
    <xf numFmtId="0" fontId="13" fillId="0" borderId="24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</xf>
    <xf numFmtId="37" fontId="13" fillId="0" borderId="24" xfId="1" applyNumberFormat="1" applyFont="1" applyBorder="1" applyAlignment="1" applyProtection="1">
      <alignment horizontal="center"/>
    </xf>
    <xf numFmtId="1" fontId="14" fillId="0" borderId="20" xfId="0" applyNumberFormat="1" applyFont="1" applyBorder="1" applyAlignment="1" applyProtection="1">
      <alignment horizontal="center"/>
    </xf>
    <xf numFmtId="1" fontId="14" fillId="0" borderId="23" xfId="0" applyNumberFormat="1" applyFont="1" applyBorder="1" applyAlignment="1" applyProtection="1">
      <alignment horizontal="center"/>
    </xf>
    <xf numFmtId="1" fontId="14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14" fillId="0" borderId="23" xfId="0" applyFont="1" applyBorder="1"/>
    <xf numFmtId="3" fontId="14" fillId="0" borderId="0" xfId="0" applyNumberFormat="1" applyFont="1" applyBorder="1"/>
    <xf numFmtId="0" fontId="14" fillId="0" borderId="0" xfId="0" quotePrefix="1" applyFont="1" applyBorder="1" applyAlignment="1" applyProtection="1">
      <alignment horizontal="center"/>
    </xf>
    <xf numFmtId="4" fontId="14" fillId="0" borderId="0" xfId="0" applyNumberFormat="1" applyFont="1" applyBorder="1" applyAlignment="1" applyProtection="1">
      <alignment horizontal="left"/>
    </xf>
    <xf numFmtId="37" fontId="14" fillId="0" borderId="23" xfId="1" applyNumberFormat="1" applyFont="1" applyBorder="1"/>
    <xf numFmtId="0" fontId="14" fillId="0" borderId="0" xfId="0" applyFont="1" applyBorder="1" applyAlignment="1"/>
    <xf numFmtId="38" fontId="14" fillId="0" borderId="20" xfId="0" applyNumberFormat="1" applyFont="1" applyBorder="1"/>
    <xf numFmtId="179" fontId="14" fillId="0" borderId="23" xfId="0" applyNumberFormat="1" applyFont="1" applyBorder="1" applyAlignment="1">
      <alignment horizontal="center"/>
    </xf>
    <xf numFmtId="180" fontId="14" fillId="0" borderId="0" xfId="0" applyNumberFormat="1" applyFont="1" applyBorder="1" applyProtection="1"/>
    <xf numFmtId="180" fontId="14" fillId="0" borderId="23" xfId="0" applyNumberFormat="1" applyFont="1" applyBorder="1" applyProtection="1"/>
    <xf numFmtId="180" fontId="14" fillId="0" borderId="0" xfId="0" applyNumberFormat="1" applyFont="1" applyBorder="1" applyAlignment="1" applyProtection="1">
      <alignment horizontal="center"/>
    </xf>
    <xf numFmtId="37" fontId="14" fillId="0" borderId="23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23" xfId="1" applyNumberFormat="1" applyFont="1" applyBorder="1" applyProtection="1"/>
    <xf numFmtId="37" fontId="14" fillId="0" borderId="0" xfId="0" applyNumberFormat="1" applyFont="1" applyBorder="1"/>
    <xf numFmtId="38" fontId="13" fillId="0" borderId="18" xfId="0" applyNumberFormat="1" applyFont="1" applyBorder="1" applyAlignment="1">
      <alignment horizontal="center"/>
    </xf>
    <xf numFmtId="38" fontId="13" fillId="0" borderId="24" xfId="0" applyNumberFormat="1" applyFont="1" applyBorder="1"/>
    <xf numFmtId="38" fontId="13" fillId="0" borderId="19" xfId="0" applyNumberFormat="1" applyFont="1" applyBorder="1"/>
    <xf numFmtId="38" fontId="13" fillId="0" borderId="19" xfId="1" applyNumberFormat="1" applyFont="1" applyBorder="1"/>
    <xf numFmtId="37" fontId="13" fillId="0" borderId="24" xfId="1" applyNumberFormat="1" applyFont="1" applyBorder="1"/>
    <xf numFmtId="37" fontId="13" fillId="0" borderId="19" xfId="1" applyNumberFormat="1" applyFont="1" applyBorder="1"/>
    <xf numFmtId="37" fontId="13" fillId="0" borderId="0" xfId="0" applyNumberFormat="1" applyFont="1" applyBorder="1"/>
    <xf numFmtId="164" fontId="14" fillId="0" borderId="0" xfId="0" applyNumberFormat="1" applyFont="1" applyBorder="1"/>
    <xf numFmtId="164" fontId="23" fillId="0" borderId="0" xfId="1" applyFont="1" applyBorder="1"/>
    <xf numFmtId="164" fontId="1" fillId="0" borderId="1" xfId="1" applyBorder="1"/>
    <xf numFmtId="37" fontId="0" fillId="0" borderId="0" xfId="0" applyNumberFormat="1"/>
    <xf numFmtId="37" fontId="0" fillId="0" borderId="1" xfId="0" applyNumberFormat="1" applyBorder="1"/>
    <xf numFmtId="37" fontId="13" fillId="0" borderId="24" xfId="1" applyNumberFormat="1" applyFont="1" applyBorder="1" applyProtection="1"/>
    <xf numFmtId="0" fontId="11" fillId="0" borderId="0" xfId="0" applyFont="1" applyBorder="1"/>
    <xf numFmtId="14" fontId="12" fillId="0" borderId="0" xfId="0" applyNumberFormat="1" applyFont="1" applyBorder="1"/>
    <xf numFmtId="0" fontId="12" fillId="0" borderId="0" xfId="0" applyFont="1" applyBorder="1" applyAlignment="1">
      <alignment horizontal="center" wrapText="1"/>
    </xf>
    <xf numFmtId="174" fontId="12" fillId="0" borderId="0" xfId="0" applyNumberFormat="1" applyFont="1" applyBorder="1"/>
    <xf numFmtId="176" fontId="12" fillId="0" borderId="0" xfId="1" applyNumberFormat="1" applyFont="1" applyBorder="1"/>
    <xf numFmtId="39" fontId="12" fillId="0" borderId="0" xfId="1" applyNumberFormat="1" applyFont="1" applyBorder="1"/>
    <xf numFmtId="0" fontId="12" fillId="0" borderId="0" xfId="0" applyFont="1" applyBorder="1" applyAlignment="1">
      <alignment horizontal="center"/>
    </xf>
    <xf numFmtId="164" fontId="12" fillId="0" borderId="0" xfId="1" applyFont="1" applyBorder="1"/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4" fontId="24" fillId="0" borderId="0" xfId="1" applyFont="1" applyBorder="1" applyAlignment="1">
      <alignment horizontal="center"/>
    </xf>
    <xf numFmtId="39" fontId="12" fillId="0" borderId="0" xfId="1" applyNumberFormat="1" applyFont="1" applyBorder="1" applyAlignment="1"/>
    <xf numFmtId="39" fontId="12" fillId="0" borderId="0" xfId="0" applyNumberFormat="1" applyFont="1" applyBorder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39" fontId="12" fillId="0" borderId="0" xfId="0" applyNumberFormat="1" applyFont="1"/>
    <xf numFmtId="39" fontId="11" fillId="0" borderId="0" xfId="0" applyNumberFormat="1" applyFont="1" applyBorder="1"/>
    <xf numFmtId="175" fontId="15" fillId="0" borderId="0" xfId="0" applyNumberFormat="1" applyFont="1" applyBorder="1" applyAlignment="1">
      <alignment horizontal="center"/>
    </xf>
    <xf numFmtId="17" fontId="15" fillId="0" borderId="0" xfId="0" applyNumberFormat="1" applyFont="1" applyBorder="1"/>
    <xf numFmtId="1" fontId="12" fillId="0" borderId="0" xfId="0" applyNumberFormat="1" applyFont="1" applyBorder="1" applyAlignment="1">
      <alignment horizontal="center"/>
    </xf>
    <xf numFmtId="39" fontId="12" fillId="0" borderId="0" xfId="0" applyNumberFormat="1" applyFont="1" applyBorder="1" applyAlignment="1">
      <alignment horizontal="center"/>
    </xf>
    <xf numFmtId="182" fontId="12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12" fillId="0" borderId="0" xfId="0" applyNumberFormat="1" applyFont="1"/>
    <xf numFmtId="37" fontId="12" fillId="0" borderId="0" xfId="0" applyNumberFormat="1" applyFont="1" applyBorder="1"/>
    <xf numFmtId="172" fontId="12" fillId="0" borderId="0" xfId="0" applyNumberFormat="1" applyFont="1" applyBorder="1"/>
    <xf numFmtId="0" fontId="12" fillId="0" borderId="20" xfId="0" applyFont="1" applyBorder="1"/>
    <xf numFmtId="17" fontId="12" fillId="0" borderId="0" xfId="0" applyNumberFormat="1" applyFont="1" applyBorder="1" applyAlignment="1">
      <alignment horizontal="center"/>
    </xf>
    <xf numFmtId="172" fontId="12" fillId="0" borderId="0" xfId="0" applyNumberFormat="1" applyFont="1" applyAlignment="1">
      <alignment horizontal="center"/>
    </xf>
    <xf numFmtId="172" fontId="12" fillId="0" borderId="0" xfId="0" applyNumberFormat="1" applyFont="1"/>
    <xf numFmtId="182" fontId="12" fillId="0" borderId="0" xfId="0" applyNumberFormat="1" applyFont="1"/>
    <xf numFmtId="175" fontId="10" fillId="0" borderId="0" xfId="0" applyNumberFormat="1" applyFont="1" applyAlignment="1">
      <alignment horizontal="center"/>
    </xf>
    <xf numFmtId="17" fontId="10" fillId="0" borderId="0" xfId="0" applyNumberFormat="1" applyFont="1"/>
    <xf numFmtId="1" fontId="12" fillId="0" borderId="0" xfId="0" applyNumberFormat="1" applyFont="1"/>
    <xf numFmtId="0" fontId="12" fillId="0" borderId="0" xfId="0" applyFont="1" applyAlignment="1"/>
    <xf numFmtId="37" fontId="11" fillId="0" borderId="25" xfId="0" applyNumberFormat="1" applyFont="1" applyBorder="1"/>
    <xf numFmtId="37" fontId="11" fillId="0" borderId="0" xfId="0" applyNumberFormat="1" applyFont="1" applyBorder="1"/>
    <xf numFmtId="37" fontId="11" fillId="0" borderId="0" xfId="0" applyNumberFormat="1" applyFont="1"/>
    <xf numFmtId="0" fontId="11" fillId="0" borderId="0" xfId="0" applyFont="1"/>
    <xf numFmtId="0" fontId="26" fillId="0" borderId="0" xfId="0" applyFont="1" applyBorder="1"/>
    <xf numFmtId="39" fontId="26" fillId="0" borderId="0" xfId="1" applyNumberFormat="1" applyFont="1" applyBorder="1"/>
    <xf numFmtId="4" fontId="26" fillId="0" borderId="0" xfId="0" applyNumberFormat="1" applyFont="1" applyBorder="1"/>
    <xf numFmtId="4" fontId="12" fillId="0" borderId="0" xfId="0" applyNumberFormat="1" applyFont="1" applyBorder="1"/>
    <xf numFmtId="0" fontId="15" fillId="0" borderId="0" xfId="0" applyFont="1" applyFill="1" applyAlignment="1" applyProtection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2" fillId="0" borderId="0" xfId="0" applyFont="1" applyFill="1"/>
    <xf numFmtId="1" fontId="12" fillId="0" borderId="26" xfId="0" applyNumberFormat="1" applyFont="1" applyFill="1" applyBorder="1"/>
    <xf numFmtId="1" fontId="12" fillId="0" borderId="26" xfId="0" applyNumberFormat="1" applyFont="1" applyFill="1" applyBorder="1" applyAlignment="1">
      <alignment horizontal="center"/>
    </xf>
    <xf numFmtId="39" fontId="12" fillId="0" borderId="27" xfId="0" applyNumberFormat="1" applyFont="1" applyFill="1" applyBorder="1" applyAlignment="1">
      <alignment horizontal="center"/>
    </xf>
    <xf numFmtId="39" fontId="12" fillId="0" borderId="26" xfId="0" applyNumberFormat="1" applyFont="1" applyFill="1" applyBorder="1" applyAlignment="1">
      <alignment horizontal="center"/>
    </xf>
    <xf numFmtId="181" fontId="12" fillId="0" borderId="28" xfId="0" applyNumberFormat="1" applyFont="1" applyFill="1" applyBorder="1" applyAlignment="1">
      <alignment horizontal="center"/>
    </xf>
    <xf numFmtId="181" fontId="12" fillId="0" borderId="26" xfId="0" applyNumberFormat="1" applyFont="1" applyFill="1" applyBorder="1" applyAlignment="1">
      <alignment horizontal="center"/>
    </xf>
    <xf numFmtId="37" fontId="12" fillId="0" borderId="27" xfId="0" applyNumberFormat="1" applyFont="1" applyFill="1" applyBorder="1" applyAlignment="1">
      <alignment horizontal="center"/>
    </xf>
    <xf numFmtId="37" fontId="12" fillId="0" borderId="26" xfId="0" applyNumberFormat="1" applyFont="1" applyFill="1" applyBorder="1" applyAlignment="1">
      <alignment horizontal="center"/>
    </xf>
    <xf numFmtId="37" fontId="12" fillId="0" borderId="28" xfId="0" applyNumberFormat="1" applyFont="1" applyFill="1" applyBorder="1" applyAlignment="1">
      <alignment horizontal="center"/>
    </xf>
    <xf numFmtId="182" fontId="12" fillId="0" borderId="26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12" fillId="0" borderId="29" xfId="0" applyNumberFormat="1" applyFont="1" applyFill="1" applyBorder="1" applyAlignment="1">
      <alignment horizontal="center"/>
    </xf>
    <xf numFmtId="39" fontId="12" fillId="0" borderId="6" xfId="0" applyNumberFormat="1" applyFont="1" applyFill="1" applyBorder="1" applyAlignment="1">
      <alignment horizontal="center"/>
    </xf>
    <xf numFmtId="39" fontId="12" fillId="0" borderId="29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29" xfId="0" applyNumberFormat="1" applyFont="1" applyFill="1" applyBorder="1" applyAlignment="1">
      <alignment horizontal="center"/>
    </xf>
    <xf numFmtId="37" fontId="12" fillId="0" borderId="6" xfId="0" applyNumberFormat="1" applyFont="1" applyFill="1" applyBorder="1" applyAlignment="1">
      <alignment horizontal="center"/>
    </xf>
    <xf numFmtId="182" fontId="12" fillId="0" borderId="29" xfId="0" applyNumberFormat="1" applyFont="1" applyFill="1" applyBorder="1" applyAlignment="1">
      <alignment horizontal="center"/>
    </xf>
    <xf numFmtId="1" fontId="12" fillId="0" borderId="4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39" fontId="12" fillId="0" borderId="7" xfId="0" applyNumberFormat="1" applyFont="1" applyFill="1" applyBorder="1" applyAlignment="1">
      <alignment horizontal="center"/>
    </xf>
    <xf numFmtId="39" fontId="12" fillId="0" borderId="13" xfId="0" applyNumberFormat="1" applyFont="1" applyFill="1" applyBorder="1" applyAlignment="1">
      <alignment horizontal="center"/>
    </xf>
    <xf numFmtId="37" fontId="12" fillId="0" borderId="7" xfId="0" applyNumberFormat="1" applyFont="1" applyFill="1" applyBorder="1" applyAlignment="1">
      <alignment horizontal="center"/>
    </xf>
    <xf numFmtId="37" fontId="12" fillId="0" borderId="1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/>
    <xf numFmtId="37" fontId="12" fillId="0" borderId="0" xfId="0" applyNumberFormat="1" applyFont="1" applyFill="1" applyBorder="1"/>
    <xf numFmtId="0" fontId="12" fillId="0" borderId="0" xfId="0" applyFont="1" applyFill="1" applyBorder="1"/>
    <xf numFmtId="37" fontId="11" fillId="0" borderId="30" xfId="0" applyNumberFormat="1" applyFont="1" applyFill="1" applyBorder="1"/>
    <xf numFmtId="0" fontId="11" fillId="0" borderId="0" xfId="0" applyFont="1" applyFill="1"/>
    <xf numFmtId="39" fontId="11" fillId="0" borderId="0" xfId="1" applyNumberFormat="1" applyFont="1" applyBorder="1"/>
    <xf numFmtId="4" fontId="11" fillId="0" borderId="0" xfId="1" applyNumberFormat="1" applyFont="1" applyBorder="1"/>
    <xf numFmtId="0" fontId="11" fillId="0" borderId="4" xfId="0" applyFont="1" applyFill="1" applyBorder="1"/>
    <xf numFmtId="0" fontId="12" fillId="0" borderId="1" xfId="0" applyFont="1" applyBorder="1"/>
    <xf numFmtId="176" fontId="12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/>
    <xf numFmtId="0" fontId="11" fillId="0" borderId="0" xfId="0" applyFont="1" applyFill="1" applyBorder="1"/>
    <xf numFmtId="37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/>
    <xf numFmtId="3" fontId="12" fillId="0" borderId="0" xfId="1" applyNumberFormat="1" applyFont="1" applyFill="1" applyBorder="1"/>
    <xf numFmtId="14" fontId="11" fillId="0" borderId="0" xfId="0" applyNumberFormat="1" applyFont="1" applyFill="1" applyBorder="1"/>
    <xf numFmtId="3" fontId="25" fillId="0" borderId="0" xfId="0" applyNumberFormat="1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23" xfId="0" applyFont="1" applyBorder="1" applyAlignment="1">
      <alignment horizontal="center"/>
    </xf>
    <xf numFmtId="176" fontId="12" fillId="0" borderId="23" xfId="0" applyNumberFormat="1" applyFont="1" applyBorder="1" applyAlignment="1">
      <alignment horizontal="center"/>
    </xf>
    <xf numFmtId="3" fontId="12" fillId="0" borderId="0" xfId="0" applyNumberFormat="1" applyFont="1"/>
    <xf numFmtId="3" fontId="12" fillId="0" borderId="23" xfId="0" applyNumberFormat="1" applyFont="1" applyBorder="1"/>
    <xf numFmtId="0" fontId="11" fillId="0" borderId="23" xfId="0" applyFont="1" applyBorder="1"/>
    <xf numFmtId="0" fontId="12" fillId="0" borderId="24" xfId="0" applyFont="1" applyBorder="1" applyAlignment="1">
      <alignment horizontal="center"/>
    </xf>
    <xf numFmtId="176" fontId="12" fillId="0" borderId="24" xfId="0" applyNumberFormat="1" applyFont="1" applyBorder="1" applyAlignment="1">
      <alignment horizontal="center"/>
    </xf>
    <xf numFmtId="3" fontId="12" fillId="0" borderId="19" xfId="0" applyNumberFormat="1" applyFont="1" applyBorder="1"/>
    <xf numFmtId="3" fontId="12" fillId="0" borderId="24" xfId="0" applyNumberFormat="1" applyFont="1" applyBorder="1"/>
    <xf numFmtId="0" fontId="27" fillId="0" borderId="0" xfId="0" applyFont="1" applyBorder="1" applyAlignment="1">
      <alignment horizontal="center"/>
    </xf>
    <xf numFmtId="17" fontId="27" fillId="0" borderId="0" xfId="0" applyNumberFormat="1" applyFont="1" applyAlignment="1">
      <alignment horizontal="center"/>
    </xf>
    <xf numFmtId="176" fontId="27" fillId="0" borderId="0" xfId="0" applyNumberFormat="1" applyFont="1" applyAlignment="1">
      <alignment horizontal="center"/>
    </xf>
    <xf numFmtId="176" fontId="27" fillId="0" borderId="0" xfId="0" applyNumberFormat="1" applyFont="1" applyBorder="1" applyAlignment="1">
      <alignment horizontal="center"/>
    </xf>
    <xf numFmtId="3" fontId="27" fillId="0" borderId="0" xfId="0" applyNumberFormat="1" applyFont="1"/>
    <xf numFmtId="0" fontId="27" fillId="0" borderId="0" xfId="0" applyFont="1"/>
    <xf numFmtId="0" fontId="12" fillId="0" borderId="0" xfId="0" applyFont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/>
    <xf numFmtId="14" fontId="12" fillId="0" borderId="0" xfId="0" applyNumberFormat="1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176" fontId="28" fillId="0" borderId="0" xfId="0" applyNumberFormat="1" applyFont="1" applyAlignment="1">
      <alignment horizontal="center"/>
    </xf>
    <xf numFmtId="176" fontId="28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8" fillId="0" borderId="0" xfId="0" applyFont="1"/>
    <xf numFmtId="14" fontId="12" fillId="0" borderId="19" xfId="0" applyNumberFormat="1" applyFont="1" applyFill="1" applyBorder="1" applyAlignment="1">
      <alignment horizontal="center"/>
    </xf>
    <xf numFmtId="0" fontId="12" fillId="0" borderId="0" xfId="3" applyFont="1"/>
    <xf numFmtId="0" fontId="11" fillId="0" borderId="21" xfId="0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3" applyFont="1" applyBorder="1"/>
    <xf numFmtId="17" fontId="12" fillId="0" borderId="23" xfId="0" applyNumberFormat="1" applyFont="1" applyBorder="1" applyAlignment="1">
      <alignment horizontal="center"/>
    </xf>
    <xf numFmtId="3" fontId="12" fillId="0" borderId="20" xfId="0" applyNumberFormat="1" applyFont="1" applyBorder="1"/>
    <xf numFmtId="4" fontId="12" fillId="0" borderId="23" xfId="0" applyNumberFormat="1" applyFont="1" applyBorder="1"/>
    <xf numFmtId="176" fontId="12" fillId="0" borderId="23" xfId="0" applyNumberFormat="1" applyFont="1" applyBorder="1"/>
    <xf numFmtId="0" fontId="11" fillId="0" borderId="20" xfId="0" applyFont="1" applyFill="1" applyBorder="1" applyAlignment="1">
      <alignment horizontal="center"/>
    </xf>
    <xf numFmtId="3" fontId="11" fillId="0" borderId="23" xfId="0" applyNumberFormat="1" applyFont="1" applyBorder="1"/>
    <xf numFmtId="3" fontId="11" fillId="0" borderId="0" xfId="0" applyNumberFormat="1" applyFont="1" applyBorder="1"/>
    <xf numFmtId="3" fontId="11" fillId="0" borderId="20" xfId="0" applyNumberFormat="1" applyFont="1" applyBorder="1"/>
    <xf numFmtId="164" fontId="11" fillId="0" borderId="23" xfId="1" applyFont="1" applyBorder="1"/>
    <xf numFmtId="0" fontId="12" fillId="0" borderId="18" xfId="0" applyFont="1" applyBorder="1"/>
    <xf numFmtId="0" fontId="12" fillId="0" borderId="24" xfId="0" applyFont="1" applyBorder="1"/>
    <xf numFmtId="0" fontId="12" fillId="0" borderId="19" xfId="0" applyFont="1" applyBorder="1"/>
    <xf numFmtId="3" fontId="0" fillId="0" borderId="0" xfId="0" applyNumberFormat="1" applyBorder="1"/>
    <xf numFmtId="0" fontId="2" fillId="0" borderId="19" xfId="0" applyFont="1" applyBorder="1" applyAlignment="1">
      <alignment horizontal="center"/>
    </xf>
    <xf numFmtId="3" fontId="2" fillId="2" borderId="0" xfId="0" applyNumberFormat="1" applyFont="1" applyFill="1"/>
    <xf numFmtId="3" fontId="0" fillId="2" borderId="0" xfId="0" applyNumberFormat="1" applyFill="1" applyBorder="1"/>
    <xf numFmtId="0" fontId="0" fillId="0" borderId="0" xfId="0" applyAlignment="1">
      <alignment horizontal="center" vertical="center" wrapText="1"/>
    </xf>
    <xf numFmtId="37" fontId="0" fillId="0" borderId="31" xfId="0" applyNumberFormat="1" applyBorder="1"/>
    <xf numFmtId="3" fontId="0" fillId="0" borderId="3" xfId="0" applyNumberFormat="1" applyBorder="1"/>
    <xf numFmtId="0" fontId="0" fillId="0" borderId="31" xfId="0" applyBorder="1"/>
    <xf numFmtId="3" fontId="0" fillId="3" borderId="3" xfId="0" applyNumberFormat="1" applyFill="1" applyBorder="1"/>
    <xf numFmtId="0" fontId="27" fillId="0" borderId="21" xfId="0" applyFont="1" applyBorder="1" applyAlignment="1">
      <alignment horizontal="center"/>
    </xf>
    <xf numFmtId="14" fontId="12" fillId="0" borderId="22" xfId="0" applyNumberFormat="1" applyFont="1" applyFill="1" applyBorder="1" applyAlignment="1">
      <alignment horizontal="center"/>
    </xf>
    <xf numFmtId="176" fontId="12" fillId="0" borderId="14" xfId="0" applyNumberFormat="1" applyFont="1" applyBorder="1" applyAlignment="1">
      <alignment horizontal="center"/>
    </xf>
    <xf numFmtId="3" fontId="12" fillId="0" borderId="14" xfId="0" applyNumberFormat="1" applyFont="1" applyBorder="1"/>
    <xf numFmtId="0" fontId="27" fillId="0" borderId="2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3" fontId="28" fillId="0" borderId="0" xfId="2" applyNumberFormat="1" applyFont="1" applyBorder="1"/>
    <xf numFmtId="176" fontId="11" fillId="0" borderId="0" xfId="0" applyNumberFormat="1" applyFont="1" applyBorder="1" applyAlignment="1">
      <alignment horizontal="center"/>
    </xf>
    <xf numFmtId="3" fontId="28" fillId="0" borderId="0" xfId="0" applyNumberFormat="1" applyFont="1"/>
    <xf numFmtId="3" fontId="8" fillId="0" borderId="0" xfId="0" applyNumberFormat="1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13" fillId="0" borderId="32" xfId="0" applyFont="1" applyBorder="1"/>
    <xf numFmtId="176" fontId="14" fillId="0" borderId="7" xfId="0" applyNumberFormat="1" applyFont="1" applyBorder="1" applyAlignment="1">
      <alignment horizontal="center" wrapText="1"/>
    </xf>
    <xf numFmtId="1" fontId="14" fillId="0" borderId="14" xfId="0" applyNumberFormat="1" applyFont="1" applyBorder="1" applyAlignment="1" applyProtection="1">
      <alignment horizontal="center"/>
    </xf>
    <xf numFmtId="14" fontId="14" fillId="0" borderId="33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176" fontId="19" fillId="0" borderId="0" xfId="0" applyNumberFormat="1" applyFont="1" applyAlignment="1">
      <alignment horizontal="center"/>
    </xf>
    <xf numFmtId="177" fontId="8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167" fontId="13" fillId="0" borderId="0" xfId="1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39" fontId="11" fillId="0" borderId="14" xfId="0" applyNumberFormat="1" applyFont="1" applyBorder="1" applyAlignment="1">
      <alignment horizontal="center"/>
    </xf>
    <xf numFmtId="39" fontId="11" fillId="0" borderId="23" xfId="0" applyNumberFormat="1" applyFont="1" applyBorder="1" applyAlignment="1">
      <alignment horizontal="center"/>
    </xf>
    <xf numFmtId="39" fontId="11" fillId="0" borderId="24" xfId="0" applyNumberFormat="1" applyFont="1" applyBorder="1" applyAlignment="1">
      <alignment horizontal="center"/>
    </xf>
    <xf numFmtId="37" fontId="11" fillId="0" borderId="14" xfId="0" applyNumberFormat="1" applyFont="1" applyBorder="1" applyAlignment="1">
      <alignment horizontal="center"/>
    </xf>
    <xf numFmtId="37" fontId="11" fillId="0" borderId="23" xfId="0" applyNumberFormat="1" applyFont="1" applyBorder="1" applyAlignment="1">
      <alignment horizontal="center"/>
    </xf>
    <xf numFmtId="37" fontId="11" fillId="0" borderId="24" xfId="0" applyNumberFormat="1" applyFont="1" applyBorder="1" applyAlignment="1">
      <alignment horizontal="center"/>
    </xf>
    <xf numFmtId="182" fontId="11" fillId="0" borderId="23" xfId="0" applyNumberFormat="1" applyFont="1" applyBorder="1" applyAlignment="1">
      <alignment horizontal="center"/>
    </xf>
    <xf numFmtId="182" fontId="11" fillId="0" borderId="21" xfId="0" applyNumberFormat="1" applyFont="1" applyBorder="1" applyAlignment="1">
      <alignment horizontal="center"/>
    </xf>
    <xf numFmtId="182" fontId="11" fillId="0" borderId="20" xfId="0" applyNumberFormat="1" applyFont="1" applyBorder="1" applyAlignment="1">
      <alignment horizontal="center"/>
    </xf>
    <xf numFmtId="37" fontId="11" fillId="0" borderId="18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176" fontId="19" fillId="0" borderId="2" xfId="0" applyNumberFormat="1" applyFont="1" applyBorder="1" applyAlignment="1">
      <alignment horizontal="center" wrapText="1"/>
    </xf>
    <xf numFmtId="14" fontId="18" fillId="0" borderId="2" xfId="0" applyNumberFormat="1" applyFont="1" applyBorder="1" applyAlignment="1">
      <alignment horizontal="center" wrapText="1"/>
    </xf>
    <xf numFmtId="176" fontId="18" fillId="0" borderId="2" xfId="0" applyNumberFormat="1" applyFont="1" applyBorder="1" applyAlignment="1">
      <alignment horizontal="center" wrapText="1"/>
    </xf>
    <xf numFmtId="164" fontId="18" fillId="0" borderId="2" xfId="1" applyFont="1" applyBorder="1" applyAlignment="1">
      <alignment horizontal="center" wrapText="1"/>
    </xf>
    <xf numFmtId="0" fontId="19" fillId="0" borderId="13" xfId="0" applyFont="1" applyBorder="1"/>
    <xf numFmtId="0" fontId="19" fillId="0" borderId="10" xfId="0" applyFont="1" applyBorder="1"/>
    <xf numFmtId="167" fontId="0" fillId="0" borderId="2" xfId="0" applyNumberFormat="1" applyBorder="1"/>
    <xf numFmtId="167" fontId="0" fillId="0" borderId="1" xfId="1" applyNumberFormat="1" applyFont="1" applyBorder="1"/>
    <xf numFmtId="0" fontId="12" fillId="0" borderId="2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37" fontId="12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0" fillId="0" borderId="4" xfId="0" applyNumberFormat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39" fontId="0" fillId="0" borderId="0" xfId="0" applyNumberFormat="1" applyBorder="1"/>
    <xf numFmtId="164" fontId="0" fillId="0" borderId="1" xfId="1" applyFont="1" applyBorder="1"/>
    <xf numFmtId="43" fontId="0" fillId="0" borderId="0" xfId="0" applyNumberFormat="1" applyAlignment="1">
      <alignment horizontal="center"/>
    </xf>
    <xf numFmtId="183" fontId="5" fillId="0" borderId="0" xfId="4" applyNumberFormat="1" applyFont="1" applyBorder="1" applyAlignment="1">
      <alignment horizontal="center"/>
    </xf>
    <xf numFmtId="184" fontId="5" fillId="0" borderId="0" xfId="4" applyNumberFormat="1" applyFont="1" applyBorder="1" applyAlignment="1">
      <alignment horizontal="center"/>
    </xf>
    <xf numFmtId="17" fontId="0" fillId="0" borderId="20" xfId="0" applyNumberFormat="1" applyBorder="1"/>
    <xf numFmtId="183" fontId="5" fillId="0" borderId="36" xfId="4" applyNumberFormat="1" applyFont="1" applyBorder="1" applyAlignment="1">
      <alignment horizontal="center"/>
    </xf>
    <xf numFmtId="184" fontId="5" fillId="0" borderId="36" xfId="4" applyNumberFormat="1" applyFont="1" applyBorder="1" applyAlignment="1">
      <alignment horizontal="center"/>
    </xf>
    <xf numFmtId="17" fontId="0" fillId="0" borderId="18" xfId="0" applyNumberFormat="1" applyBorder="1"/>
    <xf numFmtId="183" fontId="5" fillId="0" borderId="19" xfId="4" applyNumberFormat="1" applyFont="1" applyBorder="1" applyAlignment="1">
      <alignment horizontal="center"/>
    </xf>
    <xf numFmtId="183" fontId="5" fillId="0" borderId="37" xfId="4" applyNumberFormat="1" applyFont="1" applyBorder="1" applyAlignment="1">
      <alignment horizontal="center"/>
    </xf>
    <xf numFmtId="183" fontId="5" fillId="0" borderId="36" xfId="1" applyNumberFormat="1" applyFont="1" applyBorder="1" applyAlignment="1">
      <alignment horizontal="center"/>
    </xf>
    <xf numFmtId="0" fontId="0" fillId="0" borderId="10" xfId="0" applyBorder="1"/>
    <xf numFmtId="184" fontId="5" fillId="0" borderId="38" xfId="4" applyNumberFormat="1" applyFont="1" applyBorder="1" applyAlignment="1">
      <alignment horizontal="center"/>
    </xf>
    <xf numFmtId="184" fontId="5" fillId="0" borderId="9" xfId="4" applyNumberFormat="1" applyFont="1" applyBorder="1" applyAlignment="1">
      <alignment horizontal="center"/>
    </xf>
    <xf numFmtId="0" fontId="29" fillId="0" borderId="0" xfId="0" applyFont="1" applyFill="1" applyAlignment="1" applyProtection="1"/>
    <xf numFmtId="167" fontId="30" fillId="0" borderId="0" xfId="1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0" fillId="0" borderId="0" xfId="0" applyFont="1"/>
    <xf numFmtId="0" fontId="29" fillId="0" borderId="0" xfId="0" quotePrefix="1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center"/>
    </xf>
    <xf numFmtId="167" fontId="32" fillId="0" borderId="0" xfId="1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0" fontId="32" fillId="0" borderId="8" xfId="0" applyFont="1" applyFill="1" applyBorder="1" applyAlignment="1" applyProtection="1">
      <alignment horizontal="center" wrapText="1" shrinkToFit="1"/>
    </xf>
    <xf numFmtId="167" fontId="32" fillId="0" borderId="8" xfId="1" applyNumberFormat="1" applyFont="1" applyFill="1" applyBorder="1" applyAlignment="1" applyProtection="1">
      <alignment horizontal="center" wrapText="1"/>
    </xf>
    <xf numFmtId="4" fontId="32" fillId="0" borderId="8" xfId="0" applyNumberFormat="1" applyFont="1" applyFill="1" applyBorder="1" applyAlignment="1" applyProtection="1">
      <alignment horizontal="center" wrapText="1"/>
    </xf>
    <xf numFmtId="4" fontId="32" fillId="0" borderId="11" xfId="0" applyNumberFormat="1" applyFont="1" applyFill="1" applyBorder="1" applyAlignment="1" applyProtection="1">
      <alignment horizontal="center" wrapText="1"/>
    </xf>
    <xf numFmtId="4" fontId="32" fillId="0" borderId="12" xfId="0" applyNumberFormat="1" applyFont="1" applyFill="1" applyBorder="1" applyAlignment="1" applyProtection="1">
      <alignment horizontal="center" wrapText="1"/>
    </xf>
    <xf numFmtId="4" fontId="32" fillId="0" borderId="9" xfId="0" applyNumberFormat="1" applyFont="1" applyFill="1" applyBorder="1" applyAlignment="1" applyProtection="1">
      <alignment horizontal="center" wrapText="1"/>
    </xf>
    <xf numFmtId="0" fontId="32" fillId="0" borderId="0" xfId="0" applyFont="1"/>
    <xf numFmtId="167" fontId="30" fillId="0" borderId="0" xfId="1" applyNumberFormat="1" applyFont="1"/>
    <xf numFmtId="0" fontId="32" fillId="0" borderId="2" xfId="0" applyFont="1" applyBorder="1"/>
    <xf numFmtId="14" fontId="30" fillId="0" borderId="2" xfId="0" applyNumberFormat="1" applyFont="1" applyBorder="1"/>
    <xf numFmtId="174" fontId="30" fillId="0" borderId="2" xfId="0" applyNumberFormat="1" applyFont="1" applyBorder="1"/>
    <xf numFmtId="3" fontId="30" fillId="0" borderId="2" xfId="1" applyNumberFormat="1" applyFont="1" applyBorder="1"/>
    <xf numFmtId="3" fontId="30" fillId="0" borderId="2" xfId="0" applyNumberFormat="1" applyFont="1" applyBorder="1"/>
    <xf numFmtId="14" fontId="32" fillId="0" borderId="2" xfId="0" applyNumberFormat="1" applyFont="1" applyBorder="1"/>
    <xf numFmtId="174" fontId="32" fillId="0" borderId="2" xfId="0" applyNumberFormat="1" applyFont="1" applyBorder="1"/>
    <xf numFmtId="3" fontId="32" fillId="0" borderId="2" xfId="1" applyNumberFormat="1" applyFont="1" applyBorder="1"/>
    <xf numFmtId="0" fontId="32" fillId="0" borderId="20" xfId="0" applyFont="1" applyFill="1" applyBorder="1"/>
    <xf numFmtId="0" fontId="30" fillId="0" borderId="0" xfId="0" applyFont="1" applyFill="1" applyBorder="1"/>
    <xf numFmtId="3" fontId="32" fillId="0" borderId="0" xfId="1" applyNumberFormat="1" applyFont="1" applyFill="1" applyBorder="1"/>
    <xf numFmtId="0" fontId="30" fillId="0" borderId="2" xfId="0" applyFont="1" applyBorder="1"/>
    <xf numFmtId="164" fontId="30" fillId="0" borderId="2" xfId="1" applyFont="1" applyBorder="1"/>
    <xf numFmtId="0" fontId="32" fillId="0" borderId="2" xfId="0" applyFont="1" applyFill="1" applyBorder="1"/>
    <xf numFmtId="3" fontId="32" fillId="0" borderId="2" xfId="0" applyNumberFormat="1" applyFont="1" applyBorder="1"/>
    <xf numFmtId="164" fontId="30" fillId="0" borderId="0" xfId="1" applyFont="1" applyBorder="1"/>
    <xf numFmtId="3" fontId="30" fillId="0" borderId="0" xfId="0" applyNumberFormat="1" applyFont="1"/>
    <xf numFmtId="164" fontId="32" fillId="0" borderId="0" xfId="1" applyFont="1"/>
    <xf numFmtId="164" fontId="30" fillId="0" borderId="0" xfId="1" applyFont="1"/>
    <xf numFmtId="39" fontId="14" fillId="0" borderId="0" xfId="1" applyNumberFormat="1" applyFont="1" applyBorder="1"/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4" fontId="33" fillId="0" borderId="0" xfId="1" applyFont="1" applyBorder="1" applyAlignment="1">
      <alignment horizontal="center"/>
    </xf>
    <xf numFmtId="39" fontId="14" fillId="0" borderId="0" xfId="1" applyNumberFormat="1" applyFont="1" applyBorder="1" applyAlignment="1"/>
    <xf numFmtId="39" fontId="13" fillId="0" borderId="0" xfId="1" applyNumberFormat="1" applyFont="1" applyBorder="1"/>
    <xf numFmtId="4" fontId="14" fillId="0" borderId="0" xfId="0" applyNumberFormat="1" applyFont="1" applyBorder="1"/>
    <xf numFmtId="0" fontId="21" fillId="0" borderId="0" xfId="0" applyFont="1" applyBorder="1"/>
    <xf numFmtId="39" fontId="21" fillId="0" borderId="0" xfId="1" applyNumberFormat="1" applyFont="1" applyBorder="1"/>
    <xf numFmtId="4" fontId="21" fillId="0" borderId="0" xfId="0" applyNumberFormat="1" applyFont="1" applyBorder="1"/>
    <xf numFmtId="164" fontId="14" fillId="0" borderId="13" xfId="0" applyNumberFormat="1" applyFont="1" applyBorder="1" applyAlignment="1">
      <alignment horizontal="center" wrapText="1"/>
    </xf>
    <xf numFmtId="164" fontId="34" fillId="0" borderId="0" xfId="1" applyFont="1" applyAlignment="1">
      <alignment horizontal="center"/>
    </xf>
    <xf numFmtId="167" fontId="32" fillId="0" borderId="0" xfId="1" applyNumberFormat="1" applyFont="1"/>
    <xf numFmtId="176" fontId="32" fillId="0" borderId="0" xfId="1" applyNumberFormat="1" applyFont="1"/>
    <xf numFmtId="0" fontId="34" fillId="0" borderId="0" xfId="0" applyFont="1" applyAlignment="1">
      <alignment horizontal="center"/>
    </xf>
    <xf numFmtId="167" fontId="34" fillId="0" borderId="0" xfId="0" applyNumberFormat="1" applyFont="1" applyAlignment="1">
      <alignment horizontal="center"/>
    </xf>
    <xf numFmtId="176" fontId="34" fillId="0" borderId="0" xfId="0" applyNumberFormat="1" applyFont="1" applyAlignment="1">
      <alignment horizontal="center"/>
    </xf>
    <xf numFmtId="37" fontId="34" fillId="0" borderId="2" xfId="1" applyNumberFormat="1" applyFont="1" applyBorder="1" applyAlignment="1">
      <alignment horizontal="center"/>
    </xf>
    <xf numFmtId="167" fontId="32" fillId="0" borderId="2" xfId="1" applyNumberFormat="1" applyFont="1" applyBorder="1" applyAlignment="1"/>
    <xf numFmtId="167" fontId="32" fillId="0" borderId="2" xfId="1" applyNumberFormat="1" applyFont="1" applyBorder="1" applyAlignment="1">
      <alignment horizontal="center"/>
    </xf>
    <xf numFmtId="176" fontId="32" fillId="0" borderId="2" xfId="1" applyNumberFormat="1" applyFont="1" applyBorder="1" applyAlignment="1">
      <alignment horizontal="center"/>
    </xf>
    <xf numFmtId="39" fontId="34" fillId="0" borderId="2" xfId="1" applyNumberFormat="1" applyFont="1" applyBorder="1" applyAlignment="1">
      <alignment horizontal="center"/>
    </xf>
    <xf numFmtId="167" fontId="30" fillId="0" borderId="2" xfId="1" applyNumberFormat="1" applyFont="1" applyBorder="1"/>
    <xf numFmtId="167" fontId="32" fillId="0" borderId="2" xfId="1" applyNumberFormat="1" applyFont="1" applyBorder="1"/>
    <xf numFmtId="167" fontId="35" fillId="0" borderId="2" xfId="1" applyNumberFormat="1" applyFont="1" applyBorder="1"/>
    <xf numFmtId="0" fontId="35" fillId="0" borderId="2" xfId="0" applyFont="1" applyBorder="1"/>
    <xf numFmtId="176" fontId="35" fillId="0" borderId="2" xfId="1" applyNumberFormat="1" applyFont="1" applyBorder="1" applyAlignment="1">
      <alignment horizontal="center"/>
    </xf>
    <xf numFmtId="176" fontId="30" fillId="0" borderId="2" xfId="1" applyNumberFormat="1" applyFont="1" applyBorder="1"/>
    <xf numFmtId="176" fontId="30" fillId="0" borderId="0" xfId="1" applyNumberFormat="1" applyFont="1"/>
    <xf numFmtId="167" fontId="35" fillId="0" borderId="2" xfId="1" applyNumberFormat="1" applyFont="1" applyFill="1" applyBorder="1"/>
    <xf numFmtId="167" fontId="30" fillId="0" borderId="2" xfId="1" applyNumberFormat="1" applyFont="1" applyFill="1" applyBorder="1"/>
    <xf numFmtId="167" fontId="32" fillId="0" borderId="2" xfId="1" applyNumberFormat="1" applyFont="1" applyFill="1" applyBorder="1"/>
    <xf numFmtId="176" fontId="30" fillId="0" borderId="2" xfId="1" applyNumberFormat="1" applyFont="1" applyBorder="1" applyAlignment="1"/>
    <xf numFmtId="3" fontId="30" fillId="0" borderId="0" xfId="1" applyNumberFormat="1" applyFont="1"/>
    <xf numFmtId="0" fontId="30" fillId="0" borderId="13" xfId="0" applyFont="1" applyBorder="1"/>
    <xf numFmtId="0" fontId="27" fillId="0" borderId="10" xfId="0" applyFont="1" applyBorder="1" applyAlignment="1">
      <alignment horizontal="center"/>
    </xf>
    <xf numFmtId="14" fontId="12" fillId="0" borderId="38" xfId="0" applyNumberFormat="1" applyFont="1" applyFill="1" applyBorder="1" applyAlignment="1">
      <alignment horizontal="center"/>
    </xf>
    <xf numFmtId="176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/>
    <xf numFmtId="186" fontId="30" fillId="0" borderId="2" xfId="1" applyNumberFormat="1" applyFont="1" applyFill="1" applyBorder="1"/>
    <xf numFmtId="186" fontId="30" fillId="0" borderId="2" xfId="1" applyNumberFormat="1" applyFont="1" applyBorder="1"/>
    <xf numFmtId="186" fontId="32" fillId="0" borderId="2" xfId="1" applyNumberFormat="1" applyFont="1" applyBorder="1"/>
    <xf numFmtId="186" fontId="35" fillId="0" borderId="2" xfId="1" applyNumberFormat="1" applyFont="1" applyBorder="1"/>
    <xf numFmtId="186" fontId="32" fillId="0" borderId="2" xfId="1" applyNumberFormat="1" applyFont="1" applyFill="1" applyBorder="1"/>
    <xf numFmtId="167" fontId="32" fillId="0" borderId="2" xfId="1" applyNumberFormat="1" applyFont="1" applyBorder="1" applyAlignment="1">
      <alignment horizontal="center"/>
    </xf>
    <xf numFmtId="167" fontId="30" fillId="0" borderId="0" xfId="0" applyNumberFormat="1" applyFont="1"/>
    <xf numFmtId="37" fontId="11" fillId="4" borderId="0" xfId="0" applyNumberFormat="1" applyFont="1" applyFill="1" applyBorder="1"/>
    <xf numFmtId="186" fontId="30" fillId="0" borderId="32" xfId="1" applyNumberFormat="1" applyFont="1" applyFill="1" applyBorder="1"/>
    <xf numFmtId="17" fontId="3" fillId="0" borderId="20" xfId="0" applyNumberFormat="1" applyFont="1" applyFill="1" applyBorder="1"/>
    <xf numFmtId="183" fontId="5" fillId="0" borderId="0" xfId="4" applyNumberFormat="1" applyFont="1" applyFill="1" applyBorder="1" applyAlignment="1">
      <alignment horizontal="center"/>
    </xf>
    <xf numFmtId="183" fontId="3" fillId="0" borderId="36" xfId="0" applyNumberFormat="1" applyFont="1" applyFill="1" applyBorder="1" applyAlignment="1">
      <alignment horizontal="center"/>
    </xf>
    <xf numFmtId="185" fontId="5" fillId="0" borderId="0" xfId="4" applyNumberFormat="1" applyFont="1" applyFill="1" applyBorder="1" applyAlignment="1">
      <alignment horizontal="center"/>
    </xf>
    <xf numFmtId="183" fontId="5" fillId="0" borderId="36" xfId="4" applyNumberFormat="1" applyFont="1" applyFill="1" applyBorder="1" applyAlignment="1">
      <alignment horizontal="center"/>
    </xf>
    <xf numFmtId="186" fontId="32" fillId="0" borderId="32" xfId="1" applyNumberFormat="1" applyFont="1" applyBorder="1"/>
    <xf numFmtId="37" fontId="30" fillId="0" borderId="21" xfId="0" applyNumberFormat="1" applyFont="1" applyBorder="1"/>
    <xf numFmtId="0" fontId="30" fillId="0" borderId="20" xfId="0" applyFont="1" applyBorder="1"/>
    <xf numFmtId="37" fontId="30" fillId="0" borderId="20" xfId="0" applyNumberFormat="1" applyFont="1" applyBorder="1"/>
    <xf numFmtId="186" fontId="30" fillId="0" borderId="20" xfId="1" applyNumberFormat="1" applyFont="1" applyFill="1" applyBorder="1"/>
    <xf numFmtId="186" fontId="30" fillId="0" borderId="18" xfId="1" applyNumberFormat="1" applyFont="1" applyFill="1" applyBorder="1"/>
    <xf numFmtId="17" fontId="3" fillId="5" borderId="20" xfId="0" applyNumberFormat="1" applyFont="1" applyFill="1" applyBorder="1"/>
    <xf numFmtId="183" fontId="3" fillId="5" borderId="36" xfId="0" applyNumberFormat="1" applyFont="1" applyFill="1" applyBorder="1" applyAlignment="1">
      <alignment horizontal="center"/>
    </xf>
    <xf numFmtId="183" fontId="5" fillId="5" borderId="36" xfId="4" applyNumberFormat="1" applyFont="1" applyFill="1" applyBorder="1" applyAlignment="1">
      <alignment horizontal="center"/>
    </xf>
    <xf numFmtId="17" fontId="0" fillId="5" borderId="20" xfId="0" applyNumberFormat="1" applyFill="1" applyBorder="1"/>
    <xf numFmtId="184" fontId="5" fillId="5" borderId="0" xfId="4" applyNumberFormat="1" applyFont="1" applyFill="1" applyBorder="1" applyAlignment="1">
      <alignment horizontal="center"/>
    </xf>
    <xf numFmtId="184" fontId="5" fillId="5" borderId="36" xfId="4" applyNumberFormat="1" applyFont="1" applyFill="1" applyBorder="1" applyAlignment="1">
      <alignment horizontal="center"/>
    </xf>
    <xf numFmtId="17" fontId="0" fillId="6" borderId="20" xfId="0" applyNumberFormat="1" applyFill="1" applyBorder="1"/>
    <xf numFmtId="183" fontId="5" fillId="6" borderId="0" xfId="4" applyNumberFormat="1" applyFont="1" applyFill="1" applyBorder="1" applyAlignment="1">
      <alignment horizontal="center"/>
    </xf>
    <xf numFmtId="183" fontId="5" fillId="6" borderId="36" xfId="4" applyNumberFormat="1" applyFont="1" applyFill="1" applyBorder="1" applyAlignment="1">
      <alignment horizontal="center"/>
    </xf>
    <xf numFmtId="17" fontId="0" fillId="6" borderId="18" xfId="0" applyNumberFormat="1" applyFill="1" applyBorder="1"/>
    <xf numFmtId="183" fontId="5" fillId="6" borderId="19" xfId="4" applyNumberFormat="1" applyFont="1" applyFill="1" applyBorder="1" applyAlignment="1">
      <alignment horizontal="center"/>
    </xf>
    <xf numFmtId="183" fontId="5" fillId="6" borderId="37" xfId="4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67" fontId="32" fillId="0" borderId="2" xfId="1" applyNumberFormat="1" applyFont="1" applyBorder="1" applyAlignment="1">
      <alignment horizontal="center"/>
    </xf>
    <xf numFmtId="37" fontId="11" fillId="0" borderId="4" xfId="0" applyNumberFormat="1" applyFont="1" applyFill="1" applyBorder="1" applyAlignment="1">
      <alignment horizontal="center"/>
    </xf>
    <xf numFmtId="37" fontId="11" fillId="0" borderId="1" xfId="0" applyNumberFormat="1" applyFont="1" applyFill="1" applyBorder="1" applyAlignment="1">
      <alignment horizontal="center"/>
    </xf>
    <xf numFmtId="37" fontId="11" fillId="0" borderId="7" xfId="0" applyNumberFormat="1" applyFont="1" applyFill="1" applyBorder="1" applyAlignment="1">
      <alignment horizontal="center"/>
    </xf>
    <xf numFmtId="37" fontId="11" fillId="0" borderId="32" xfId="0" applyNumberFormat="1" applyFont="1" applyBorder="1" applyAlignment="1">
      <alignment horizontal="center"/>
    </xf>
    <xf numFmtId="37" fontId="11" fillId="0" borderId="5" xfId="0" applyNumberFormat="1" applyFont="1" applyBorder="1" applyAlignment="1">
      <alignment horizontal="center"/>
    </xf>
    <xf numFmtId="37" fontId="11" fillId="0" borderId="35" xfId="0" applyNumberFormat="1" applyFont="1" applyBorder="1" applyAlignment="1">
      <alignment horizontal="center"/>
    </xf>
    <xf numFmtId="164" fontId="23" fillId="0" borderId="0" xfId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32" fillId="0" borderId="14" xfId="1" applyNumberFormat="1" applyFont="1" applyBorder="1" applyAlignment="1">
      <alignment horizontal="center" wrapText="1"/>
    </xf>
    <xf numFmtId="3" fontId="32" fillId="0" borderId="23" xfId="1" applyNumberFormat="1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24" xfId="0" applyFont="1" applyBorder="1" applyAlignment="1">
      <alignment horizontal="center" wrapText="1"/>
    </xf>
    <xf numFmtId="3" fontId="31" fillId="0" borderId="0" xfId="0" applyNumberFormat="1" applyFont="1" applyFill="1" applyAlignment="1" applyProtection="1">
      <alignment horizontal="right"/>
    </xf>
    <xf numFmtId="166" fontId="31" fillId="0" borderId="0" xfId="0" applyNumberFormat="1" applyFont="1" applyFill="1" applyAlignment="1" applyProtection="1">
      <alignment horizontal="left"/>
    </xf>
    <xf numFmtId="0" fontId="31" fillId="0" borderId="0" xfId="0" applyFont="1" applyFill="1" applyAlignment="1" applyProtection="1"/>
    <xf numFmtId="177" fontId="31" fillId="0" borderId="0" xfId="0" applyNumberFormat="1" applyFont="1" applyFill="1" applyAlignment="1" applyProtection="1">
      <alignment horizontal="left"/>
    </xf>
    <xf numFmtId="177" fontId="31" fillId="0" borderId="0" xfId="0" applyNumberFormat="1" applyFont="1" applyFill="1" applyAlignment="1" applyProtection="1">
      <alignment horizontal="center"/>
    </xf>
    <xf numFmtId="0" fontId="32" fillId="0" borderId="8" xfId="0" applyFont="1" applyFill="1" applyBorder="1" applyAlignment="1">
      <alignment horizontal="center"/>
    </xf>
    <xf numFmtId="0" fontId="32" fillId="0" borderId="8" xfId="0" applyFont="1" applyFill="1" applyBorder="1" applyAlignment="1" applyProtection="1">
      <alignment horizontal="center" wrapText="1"/>
    </xf>
    <xf numFmtId="4" fontId="30" fillId="0" borderId="2" xfId="0" applyNumberFormat="1" applyFont="1" applyBorder="1"/>
    <xf numFmtId="0" fontId="34" fillId="0" borderId="0" xfId="0" applyFont="1"/>
    <xf numFmtId="39" fontId="30" fillId="0" borderId="0" xfId="1" applyNumberFormat="1" applyFont="1"/>
    <xf numFmtId="0" fontId="34" fillId="0" borderId="0" xfId="0" applyFont="1" applyAlignment="1">
      <alignment horizontal="center"/>
    </xf>
    <xf numFmtId="37" fontId="32" fillId="0" borderId="0" xfId="1" applyNumberFormat="1" applyFont="1" applyAlignment="1"/>
    <xf numFmtId="39" fontId="30" fillId="0" borderId="0" xfId="0" applyNumberFormat="1" applyFont="1"/>
    <xf numFmtId="39" fontId="30" fillId="0" borderId="1" xfId="1" applyNumberFormat="1" applyFont="1" applyBorder="1"/>
    <xf numFmtId="39" fontId="32" fillId="0" borderId="0" xfId="1" applyNumberFormat="1" applyFont="1"/>
    <xf numFmtId="0" fontId="35" fillId="0" borderId="0" xfId="0" applyFont="1"/>
    <xf numFmtId="39" fontId="35" fillId="0" borderId="0" xfId="1" applyNumberFormat="1" applyFont="1"/>
    <xf numFmtId="0" fontId="33" fillId="0" borderId="0" xfId="0" applyFont="1" applyAlignment="1">
      <alignment horizontal="center"/>
    </xf>
    <xf numFmtId="4" fontId="30" fillId="0" borderId="0" xfId="1" applyNumberFormat="1" applyFont="1"/>
    <xf numFmtId="0" fontId="32" fillId="0" borderId="34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4" fontId="30" fillId="0" borderId="6" xfId="1" applyNumberFormat="1" applyFont="1" applyBorder="1"/>
    <xf numFmtId="0" fontId="30" fillId="0" borderId="3" xfId="0" applyFont="1" applyBorder="1"/>
    <xf numFmtId="39" fontId="32" fillId="0" borderId="0" xfId="1" applyNumberFormat="1" applyFont="1" applyBorder="1" applyAlignment="1">
      <alignment horizontal="center"/>
    </xf>
    <xf numFmtId="4" fontId="32" fillId="0" borderId="0" xfId="1" applyNumberFormat="1" applyFont="1" applyBorder="1" applyAlignment="1">
      <alignment horizontal="center"/>
    </xf>
    <xf numFmtId="4" fontId="32" fillId="0" borderId="6" xfId="1" applyNumberFormat="1" applyFont="1" applyBorder="1"/>
    <xf numFmtId="39" fontId="30" fillId="0" borderId="0" xfId="1" applyNumberFormat="1" applyFont="1" applyBorder="1"/>
    <xf numFmtId="168" fontId="30" fillId="0" borderId="0" xfId="1" applyNumberFormat="1" applyFont="1" applyBorder="1"/>
    <xf numFmtId="4" fontId="30" fillId="0" borderId="0" xfId="1" applyNumberFormat="1" applyFont="1" applyBorder="1"/>
    <xf numFmtId="0" fontId="30" fillId="0" borderId="4" xfId="0" applyFont="1" applyBorder="1"/>
    <xf numFmtId="168" fontId="30" fillId="0" borderId="1" xfId="1" applyNumberFormat="1" applyFont="1" applyBorder="1"/>
    <xf numFmtId="4" fontId="30" fillId="0" borderId="1" xfId="1" applyNumberFormat="1" applyFont="1" applyBorder="1"/>
    <xf numFmtId="4" fontId="30" fillId="0" borderId="7" xfId="1" applyNumberFormat="1" applyFont="1" applyBorder="1"/>
    <xf numFmtId="4" fontId="37" fillId="0" borderId="6" xfId="1" applyNumberFormat="1" applyFont="1" applyBorder="1" applyAlignment="1">
      <alignment horizontal="center"/>
    </xf>
    <xf numFmtId="164" fontId="32" fillId="0" borderId="0" xfId="1" applyFont="1" applyBorder="1"/>
    <xf numFmtId="169" fontId="30" fillId="0" borderId="0" xfId="1" applyNumberFormat="1" applyFont="1" applyBorder="1"/>
    <xf numFmtId="169" fontId="30" fillId="0" borderId="1" xfId="1" applyNumberFormat="1" applyFont="1" applyBorder="1"/>
    <xf numFmtId="170" fontId="30" fillId="0" borderId="0" xfId="1" applyNumberFormat="1" applyFont="1" applyBorder="1"/>
    <xf numFmtId="170" fontId="30" fillId="0" borderId="1" xfId="1" applyNumberFormat="1" applyFont="1" applyBorder="1"/>
    <xf numFmtId="39" fontId="30" fillId="0" borderId="5" xfId="1" applyNumberFormat="1" applyFont="1" applyBorder="1"/>
    <xf numFmtId="4" fontId="30" fillId="0" borderId="5" xfId="1" applyNumberFormat="1" applyFont="1" applyBorder="1"/>
    <xf numFmtId="0" fontId="30" fillId="0" borderId="0" xfId="0" applyFont="1" applyBorder="1"/>
    <xf numFmtId="39" fontId="35" fillId="0" borderId="0" xfId="1" applyNumberFormat="1" applyFont="1" applyBorder="1"/>
    <xf numFmtId="39" fontId="14" fillId="0" borderId="0" xfId="1" applyNumberFormat="1" applyFont="1"/>
    <xf numFmtId="171" fontId="14" fillId="0" borderId="0" xfId="1" applyNumberFormat="1" applyFont="1"/>
    <xf numFmtId="39" fontId="14" fillId="0" borderId="1" xfId="1" applyNumberFormat="1" applyFont="1" applyBorder="1"/>
    <xf numFmtId="39" fontId="13" fillId="0" borderId="0" xfId="1" applyNumberFormat="1" applyFont="1"/>
    <xf numFmtId="39" fontId="32" fillId="0" borderId="0" xfId="1" applyNumberFormat="1" applyFont="1" applyAlignment="1">
      <alignment horizontal="center"/>
    </xf>
    <xf numFmtId="17" fontId="3" fillId="5" borderId="21" xfId="0" applyNumberFormat="1" applyFont="1" applyFill="1" applyBorder="1"/>
    <xf numFmtId="184" fontId="5" fillId="5" borderId="22" xfId="4" applyNumberFormat="1" applyFont="1" applyFill="1" applyBorder="1" applyAlignment="1">
      <alignment horizontal="center"/>
    </xf>
    <xf numFmtId="183" fontId="3" fillId="5" borderId="17" xfId="0" applyNumberFormat="1" applyFont="1" applyFill="1" applyBorder="1" applyAlignment="1">
      <alignment horizontal="center"/>
    </xf>
    <xf numFmtId="2" fontId="30" fillId="0" borderId="17" xfId="1" applyNumberFormat="1" applyFont="1" applyBorder="1"/>
    <xf numFmtId="2" fontId="30" fillId="0" borderId="36" xfId="1" applyNumberFormat="1" applyFont="1" applyBorder="1"/>
    <xf numFmtId="2" fontId="30" fillId="0" borderId="37" xfId="1" applyNumberFormat="1" applyFont="1" applyBorder="1"/>
    <xf numFmtId="0" fontId="30" fillId="0" borderId="10" xfId="0" applyFont="1" applyBorder="1" applyAlignment="1">
      <alignment horizontal="center"/>
    </xf>
    <xf numFmtId="0" fontId="30" fillId="0" borderId="9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_exc-inc" xfId="2"/>
    <cellStyle name="Normal_ISLR-IAE" xfId="3"/>
    <cellStyle name="Normal_serie1950conbasedic200710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publica\Sistema%20API-Excel\Menu%20Ajuste%20Ini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Menu"/>
      <sheetName val="Balance Fiscal"/>
      <sheetName val="Ajuste Inicial AFD"/>
      <sheetName val="Ajuste Inicial AF-Amort"/>
      <sheetName val="Ajuste Inicial Inventario"/>
      <sheetName val="Ajuste Inicial Pasivos Amort"/>
      <sheetName val="Exclusiones Fiscales Hist"/>
      <sheetName val="Actualizacion de Patrimonio"/>
      <sheetName val="Libro Ajuste"/>
      <sheetName val="Forma RAR-23"/>
      <sheetName val="IPC"/>
      <sheetName val="Datos Contribuye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>
            <v>18264</v>
          </cell>
          <cell r="B2">
            <v>0.2178391234687074</v>
          </cell>
        </row>
        <row r="3">
          <cell r="A3">
            <v>18295</v>
          </cell>
          <cell r="B3">
            <v>0.21734154666772817</v>
          </cell>
        </row>
        <row r="4">
          <cell r="A4">
            <v>18323</v>
          </cell>
          <cell r="B4">
            <v>0.21435608586185279</v>
          </cell>
        </row>
        <row r="5">
          <cell r="A5">
            <v>18354</v>
          </cell>
          <cell r="B5">
            <v>0.21425657050165695</v>
          </cell>
        </row>
        <row r="6">
          <cell r="A6">
            <v>18384</v>
          </cell>
          <cell r="B6">
            <v>0.21505269338322372</v>
          </cell>
        </row>
        <row r="7">
          <cell r="A7">
            <v>18415</v>
          </cell>
          <cell r="B7">
            <v>0.21694348522694479</v>
          </cell>
        </row>
        <row r="8">
          <cell r="A8">
            <v>18445</v>
          </cell>
          <cell r="B8">
            <v>0.2178391234687074</v>
          </cell>
        </row>
        <row r="9">
          <cell r="A9">
            <v>18476</v>
          </cell>
          <cell r="B9">
            <v>0.22172022251634543</v>
          </cell>
        </row>
        <row r="10">
          <cell r="A10">
            <v>18507</v>
          </cell>
          <cell r="B10">
            <v>0.22390956044065402</v>
          </cell>
        </row>
        <row r="11">
          <cell r="A11">
            <v>18537</v>
          </cell>
          <cell r="B11">
            <v>0.22420810652124157</v>
          </cell>
        </row>
        <row r="12">
          <cell r="A12">
            <v>18568</v>
          </cell>
          <cell r="B12">
            <v>0.22570083692417925</v>
          </cell>
        </row>
        <row r="13">
          <cell r="A13">
            <v>18598</v>
          </cell>
          <cell r="B13">
            <v>0.22868629773005464</v>
          </cell>
        </row>
        <row r="14">
          <cell r="A14">
            <v>18629</v>
          </cell>
          <cell r="B14">
            <v>0.23187078925632174</v>
          </cell>
        </row>
        <row r="15">
          <cell r="A15">
            <v>18660</v>
          </cell>
          <cell r="B15">
            <v>0.23226885069710512</v>
          </cell>
        </row>
        <row r="16">
          <cell r="A16">
            <v>18688</v>
          </cell>
          <cell r="B16">
            <v>0.2330649735786719</v>
          </cell>
        </row>
        <row r="17">
          <cell r="A17">
            <v>18719</v>
          </cell>
          <cell r="B17">
            <v>0.23386109646023864</v>
          </cell>
        </row>
        <row r="18">
          <cell r="A18">
            <v>18749</v>
          </cell>
          <cell r="B18">
            <v>0.23664752654572235</v>
          </cell>
        </row>
        <row r="19">
          <cell r="A19">
            <v>18780</v>
          </cell>
          <cell r="B19">
            <v>0.23316448893886774</v>
          </cell>
        </row>
        <row r="20">
          <cell r="A20">
            <v>18810</v>
          </cell>
          <cell r="B20">
            <v>0.23774219550787665</v>
          </cell>
        </row>
        <row r="21">
          <cell r="A21">
            <v>18841</v>
          </cell>
          <cell r="B21">
            <v>0.23833928766905171</v>
          </cell>
        </row>
        <row r="22">
          <cell r="A22">
            <v>18872</v>
          </cell>
          <cell r="B22">
            <v>0.23764268014768081</v>
          </cell>
        </row>
        <row r="23">
          <cell r="A23">
            <v>18902</v>
          </cell>
          <cell r="B23">
            <v>0.23814025694866003</v>
          </cell>
        </row>
        <row r="24">
          <cell r="A24">
            <v>18933</v>
          </cell>
          <cell r="B24">
            <v>0.23535382686317632</v>
          </cell>
        </row>
        <row r="25">
          <cell r="A25">
            <v>18963</v>
          </cell>
          <cell r="B25">
            <v>0.23814025694866003</v>
          </cell>
        </row>
        <row r="26">
          <cell r="A26">
            <v>18994</v>
          </cell>
          <cell r="B26">
            <v>0.23664752654572235</v>
          </cell>
        </row>
        <row r="27">
          <cell r="A27">
            <v>19025</v>
          </cell>
          <cell r="B27">
            <v>0.23545334222337219</v>
          </cell>
        </row>
        <row r="28">
          <cell r="A28">
            <v>19054</v>
          </cell>
          <cell r="B28">
            <v>0.23704558798650574</v>
          </cell>
        </row>
        <row r="29">
          <cell r="A29">
            <v>19085</v>
          </cell>
          <cell r="B29">
            <v>0.23863783374963926</v>
          </cell>
        </row>
        <row r="30">
          <cell r="A30">
            <v>19115</v>
          </cell>
          <cell r="B30">
            <v>0.23654801118552649</v>
          </cell>
        </row>
        <row r="31">
          <cell r="A31">
            <v>19146</v>
          </cell>
          <cell r="B31">
            <v>0.23833928766905171</v>
          </cell>
        </row>
        <row r="32">
          <cell r="A32">
            <v>19176</v>
          </cell>
          <cell r="B32">
            <v>0.23923492591081433</v>
          </cell>
        </row>
        <row r="33">
          <cell r="A33">
            <v>19207</v>
          </cell>
          <cell r="B33">
            <v>0.24102620239433956</v>
          </cell>
        </row>
        <row r="34">
          <cell r="A34">
            <v>19238</v>
          </cell>
          <cell r="B34">
            <v>0.24023007951277281</v>
          </cell>
        </row>
        <row r="35">
          <cell r="A35">
            <v>19268</v>
          </cell>
          <cell r="B35">
            <v>0.23923492591081433</v>
          </cell>
        </row>
        <row r="36">
          <cell r="A36">
            <v>19299</v>
          </cell>
          <cell r="B36">
            <v>0.23893637983022684</v>
          </cell>
        </row>
        <row r="37">
          <cell r="A37">
            <v>19329</v>
          </cell>
          <cell r="B37">
            <v>0.23863783374963926</v>
          </cell>
        </row>
        <row r="38">
          <cell r="A38">
            <v>19360</v>
          </cell>
          <cell r="B38">
            <v>0.23684655726611403</v>
          </cell>
        </row>
        <row r="39">
          <cell r="A39">
            <v>19391</v>
          </cell>
          <cell r="B39">
            <v>0.23415964254082619</v>
          </cell>
        </row>
        <row r="40">
          <cell r="A40">
            <v>19419</v>
          </cell>
          <cell r="B40">
            <v>0.23406012718063035</v>
          </cell>
        </row>
        <row r="41">
          <cell r="A41">
            <v>19450</v>
          </cell>
          <cell r="B41">
            <v>0.23465721934180539</v>
          </cell>
        </row>
        <row r="42">
          <cell r="A42">
            <v>19480</v>
          </cell>
          <cell r="B42">
            <v>0.23605043438454726</v>
          </cell>
        </row>
        <row r="43">
          <cell r="A43">
            <v>19511</v>
          </cell>
          <cell r="B43">
            <v>0.23624946510493894</v>
          </cell>
        </row>
        <row r="44">
          <cell r="A44">
            <v>19541</v>
          </cell>
          <cell r="B44">
            <v>0.23525431150298051</v>
          </cell>
        </row>
        <row r="45">
          <cell r="A45">
            <v>19572</v>
          </cell>
          <cell r="B45">
            <v>0.23495576542239296</v>
          </cell>
        </row>
        <row r="46">
          <cell r="A46">
            <v>19603</v>
          </cell>
          <cell r="B46">
            <v>0.23515479614278464</v>
          </cell>
        </row>
        <row r="47">
          <cell r="A47">
            <v>19633</v>
          </cell>
          <cell r="B47">
            <v>0.23495576542239296</v>
          </cell>
        </row>
        <row r="48">
          <cell r="A48">
            <v>19664</v>
          </cell>
          <cell r="B48">
            <v>0.23485625006219712</v>
          </cell>
        </row>
        <row r="49">
          <cell r="A49">
            <v>19694</v>
          </cell>
          <cell r="B49">
            <v>0.23455770398160958</v>
          </cell>
        </row>
        <row r="50">
          <cell r="A50">
            <v>19725</v>
          </cell>
          <cell r="B50">
            <v>0.23525431150298051</v>
          </cell>
        </row>
        <row r="51">
          <cell r="A51">
            <v>19756</v>
          </cell>
          <cell r="B51">
            <v>0.23197030461651755</v>
          </cell>
        </row>
        <row r="52">
          <cell r="A52">
            <v>19784</v>
          </cell>
          <cell r="B52">
            <v>0.22968145133201309</v>
          </cell>
        </row>
        <row r="53">
          <cell r="A53">
            <v>19815</v>
          </cell>
          <cell r="B53">
            <v>0.23336351965925942</v>
          </cell>
        </row>
        <row r="54">
          <cell r="A54">
            <v>19845</v>
          </cell>
          <cell r="B54">
            <v>0.23326400429906358</v>
          </cell>
        </row>
        <row r="55">
          <cell r="A55">
            <v>19876</v>
          </cell>
          <cell r="B55">
            <v>0.23425915790102203</v>
          </cell>
        </row>
        <row r="56">
          <cell r="A56">
            <v>19906</v>
          </cell>
          <cell r="B56">
            <v>0.23714510334670155</v>
          </cell>
        </row>
        <row r="57">
          <cell r="A57">
            <v>19937</v>
          </cell>
          <cell r="B57">
            <v>0.23664752654572235</v>
          </cell>
        </row>
        <row r="58">
          <cell r="A58">
            <v>19968</v>
          </cell>
          <cell r="B58">
            <v>0.23923492591081433</v>
          </cell>
        </row>
        <row r="59">
          <cell r="A59">
            <v>19998</v>
          </cell>
          <cell r="B59">
            <v>0.23754316478748497</v>
          </cell>
        </row>
        <row r="60">
          <cell r="A60">
            <v>20029</v>
          </cell>
          <cell r="B60">
            <v>0.2374436494272891</v>
          </cell>
        </row>
        <row r="61">
          <cell r="A61">
            <v>20059</v>
          </cell>
          <cell r="B61">
            <v>0.23764268014768081</v>
          </cell>
        </row>
        <row r="62">
          <cell r="A62">
            <v>20090</v>
          </cell>
          <cell r="B62">
            <v>0.2387373491098351</v>
          </cell>
        </row>
        <row r="63">
          <cell r="A63">
            <v>20121</v>
          </cell>
          <cell r="B63">
            <v>0.23216933533690925</v>
          </cell>
        </row>
        <row r="64">
          <cell r="A64">
            <v>20149</v>
          </cell>
          <cell r="B64">
            <v>0.23157224317573419</v>
          </cell>
        </row>
        <row r="65">
          <cell r="A65">
            <v>20180</v>
          </cell>
          <cell r="B65">
            <v>0.23236836605730096</v>
          </cell>
        </row>
        <row r="66">
          <cell r="A66">
            <v>20210</v>
          </cell>
          <cell r="B66">
            <v>0.23346303501945528</v>
          </cell>
        </row>
        <row r="67">
          <cell r="A67">
            <v>20241</v>
          </cell>
          <cell r="B67">
            <v>0.23624946510493894</v>
          </cell>
        </row>
        <row r="68">
          <cell r="A68">
            <v>20271</v>
          </cell>
          <cell r="B68">
            <v>0.23595091902435142</v>
          </cell>
        </row>
        <row r="69">
          <cell r="A69">
            <v>20302</v>
          </cell>
          <cell r="B69">
            <v>0.23515479614278464</v>
          </cell>
        </row>
        <row r="70">
          <cell r="A70">
            <v>20333</v>
          </cell>
          <cell r="B70">
            <v>0.23386109646023864</v>
          </cell>
        </row>
        <row r="71">
          <cell r="A71">
            <v>20363</v>
          </cell>
          <cell r="B71">
            <v>0.23386109646023864</v>
          </cell>
        </row>
        <row r="72">
          <cell r="A72">
            <v>20394</v>
          </cell>
          <cell r="B72">
            <v>0.2350552807825888</v>
          </cell>
        </row>
        <row r="73">
          <cell r="A73">
            <v>20424</v>
          </cell>
          <cell r="B73">
            <v>0.23575188830395974</v>
          </cell>
        </row>
        <row r="74">
          <cell r="A74">
            <v>20455</v>
          </cell>
          <cell r="B74">
            <v>0.23624946510493894</v>
          </cell>
        </row>
        <row r="75">
          <cell r="A75">
            <v>20486</v>
          </cell>
          <cell r="B75">
            <v>0.23495576542239296</v>
          </cell>
        </row>
        <row r="76">
          <cell r="A76">
            <v>20515</v>
          </cell>
          <cell r="B76">
            <v>0.23465721934180539</v>
          </cell>
        </row>
        <row r="77">
          <cell r="A77">
            <v>20546</v>
          </cell>
          <cell r="B77">
            <v>0.23654801118552649</v>
          </cell>
        </row>
        <row r="78">
          <cell r="A78">
            <v>20576</v>
          </cell>
          <cell r="B78">
            <v>0.23764268014768081</v>
          </cell>
        </row>
        <row r="79">
          <cell r="A79">
            <v>20607</v>
          </cell>
          <cell r="B79">
            <v>0.23525431150298051</v>
          </cell>
        </row>
        <row r="80">
          <cell r="A80">
            <v>20637</v>
          </cell>
          <cell r="B80">
            <v>0.23724461870689742</v>
          </cell>
        </row>
        <row r="81">
          <cell r="A81">
            <v>20668</v>
          </cell>
          <cell r="B81">
            <v>0.23644849582533067</v>
          </cell>
        </row>
        <row r="82">
          <cell r="A82">
            <v>20699</v>
          </cell>
          <cell r="B82">
            <v>0.23714510334670155</v>
          </cell>
        </row>
        <row r="83">
          <cell r="A83">
            <v>20729</v>
          </cell>
          <cell r="B83">
            <v>0.23664752654572235</v>
          </cell>
        </row>
        <row r="84">
          <cell r="A84">
            <v>20760</v>
          </cell>
          <cell r="B84">
            <v>0.23843880302924758</v>
          </cell>
        </row>
        <row r="85">
          <cell r="A85">
            <v>20790</v>
          </cell>
          <cell r="B85">
            <v>0.2374436494272891</v>
          </cell>
        </row>
        <row r="86">
          <cell r="A86">
            <v>20821</v>
          </cell>
          <cell r="B86">
            <v>0.22898484381064221</v>
          </cell>
        </row>
        <row r="87">
          <cell r="A87">
            <v>20852</v>
          </cell>
          <cell r="B87">
            <v>0.22878581309025048</v>
          </cell>
        </row>
        <row r="88">
          <cell r="A88">
            <v>20880</v>
          </cell>
          <cell r="B88">
            <v>0.22838775164946709</v>
          </cell>
        </row>
        <row r="89">
          <cell r="A89">
            <v>20911</v>
          </cell>
          <cell r="B89">
            <v>0.23216933533690925</v>
          </cell>
        </row>
        <row r="90">
          <cell r="A90">
            <v>20941</v>
          </cell>
          <cell r="B90">
            <v>0.22997999741260064</v>
          </cell>
        </row>
        <row r="91">
          <cell r="A91">
            <v>20972</v>
          </cell>
          <cell r="B91">
            <v>0.23047757421357987</v>
          </cell>
        </row>
        <row r="92">
          <cell r="A92">
            <v>21002</v>
          </cell>
          <cell r="B92">
            <v>0.22868629773005464</v>
          </cell>
        </row>
        <row r="93">
          <cell r="A93">
            <v>21033</v>
          </cell>
          <cell r="B93">
            <v>0.22948242061162141</v>
          </cell>
        </row>
        <row r="94">
          <cell r="A94">
            <v>21064</v>
          </cell>
          <cell r="B94">
            <v>0.22948242061162141</v>
          </cell>
        </row>
        <row r="95">
          <cell r="A95">
            <v>21094</v>
          </cell>
          <cell r="B95">
            <v>0.23316448893886774</v>
          </cell>
        </row>
        <row r="96">
          <cell r="A96">
            <v>21125</v>
          </cell>
          <cell r="B96">
            <v>0.23853831838944342</v>
          </cell>
        </row>
        <row r="97">
          <cell r="A97">
            <v>21155</v>
          </cell>
          <cell r="B97">
            <v>0.24072765631375206</v>
          </cell>
        </row>
        <row r="98">
          <cell r="A98">
            <v>21186</v>
          </cell>
          <cell r="B98">
            <v>0.24072765631375206</v>
          </cell>
        </row>
        <row r="99">
          <cell r="A99">
            <v>21217</v>
          </cell>
          <cell r="B99">
            <v>0.23455770398160958</v>
          </cell>
        </row>
        <row r="100">
          <cell r="A100">
            <v>21245</v>
          </cell>
          <cell r="B100">
            <v>0.23714510334670155</v>
          </cell>
        </row>
        <row r="101">
          <cell r="A101">
            <v>21276</v>
          </cell>
          <cell r="B101">
            <v>0.24023007951277281</v>
          </cell>
        </row>
        <row r="102">
          <cell r="A102">
            <v>21306</v>
          </cell>
          <cell r="B102">
            <v>0.23903589519042265</v>
          </cell>
        </row>
        <row r="103">
          <cell r="A103">
            <v>21337</v>
          </cell>
          <cell r="B103">
            <v>0.24480778608178175</v>
          </cell>
        </row>
        <row r="104">
          <cell r="A104">
            <v>21367</v>
          </cell>
          <cell r="B104">
            <v>0.24530536288276095</v>
          </cell>
        </row>
        <row r="105">
          <cell r="A105">
            <v>21398</v>
          </cell>
          <cell r="B105">
            <v>0.2458029396837402</v>
          </cell>
        </row>
        <row r="106">
          <cell r="A106">
            <v>21429</v>
          </cell>
          <cell r="B106">
            <v>0.2468976086458945</v>
          </cell>
        </row>
        <row r="107">
          <cell r="A107">
            <v>21459</v>
          </cell>
          <cell r="B107">
            <v>0.24829082368863634</v>
          </cell>
        </row>
        <row r="108">
          <cell r="A108">
            <v>21490</v>
          </cell>
          <cell r="B108">
            <v>0.24301650959825652</v>
          </cell>
        </row>
        <row r="109">
          <cell r="A109">
            <v>21520</v>
          </cell>
          <cell r="B109">
            <v>0.24550439360315268</v>
          </cell>
        </row>
        <row r="110">
          <cell r="A110">
            <v>21551</v>
          </cell>
          <cell r="B110">
            <v>0.24809179296824466</v>
          </cell>
        </row>
        <row r="111">
          <cell r="A111">
            <v>21582</v>
          </cell>
          <cell r="B111">
            <v>0.25018161553235746</v>
          </cell>
        </row>
        <row r="112">
          <cell r="A112">
            <v>21610</v>
          </cell>
          <cell r="B112">
            <v>0.25237095345666605</v>
          </cell>
        </row>
        <row r="113">
          <cell r="A113">
            <v>21641</v>
          </cell>
          <cell r="B113">
            <v>0.2597350901111587</v>
          </cell>
        </row>
        <row r="114">
          <cell r="A114">
            <v>21671</v>
          </cell>
          <cell r="B114">
            <v>0.24749470080706959</v>
          </cell>
        </row>
        <row r="115">
          <cell r="A115">
            <v>21702</v>
          </cell>
          <cell r="B115">
            <v>0.25147531521490341</v>
          </cell>
        </row>
        <row r="116">
          <cell r="A116">
            <v>21732</v>
          </cell>
          <cell r="B116">
            <v>0.25167434593529514</v>
          </cell>
        </row>
        <row r="117">
          <cell r="A117">
            <v>21763</v>
          </cell>
          <cell r="B117">
            <v>0.25038064625274914</v>
          </cell>
        </row>
        <row r="118">
          <cell r="A118">
            <v>21794</v>
          </cell>
          <cell r="B118">
            <v>0.25893896722959192</v>
          </cell>
        </row>
        <row r="119">
          <cell r="A119">
            <v>21824</v>
          </cell>
          <cell r="B119">
            <v>0.26461134276075515</v>
          </cell>
        </row>
        <row r="120">
          <cell r="A120">
            <v>21855</v>
          </cell>
          <cell r="B120">
            <v>0.27048274901231006</v>
          </cell>
        </row>
        <row r="121">
          <cell r="A121">
            <v>21885</v>
          </cell>
          <cell r="B121">
            <v>0.25505786818195386</v>
          </cell>
        </row>
        <row r="122">
          <cell r="A122">
            <v>21916</v>
          </cell>
          <cell r="B122">
            <v>0.26122782051409638</v>
          </cell>
        </row>
        <row r="123">
          <cell r="A123">
            <v>21947</v>
          </cell>
          <cell r="B123">
            <v>0.24878840048961559</v>
          </cell>
        </row>
        <row r="124">
          <cell r="A124">
            <v>21976</v>
          </cell>
          <cell r="B124">
            <v>0.26630310388408451</v>
          </cell>
        </row>
        <row r="125">
          <cell r="A125">
            <v>22007</v>
          </cell>
          <cell r="B125">
            <v>0.27436384805994807</v>
          </cell>
        </row>
        <row r="126">
          <cell r="A126">
            <v>22037</v>
          </cell>
          <cell r="B126">
            <v>0.26461134276075515</v>
          </cell>
        </row>
        <row r="127">
          <cell r="A127">
            <v>22068</v>
          </cell>
          <cell r="B127">
            <v>0.26500940420153851</v>
          </cell>
        </row>
        <row r="128">
          <cell r="A128">
            <v>22098</v>
          </cell>
          <cell r="B128">
            <v>0.26520843492193019</v>
          </cell>
        </row>
        <row r="129">
          <cell r="A129">
            <v>22129</v>
          </cell>
          <cell r="B129">
            <v>0.26600455780349697</v>
          </cell>
        </row>
        <row r="130">
          <cell r="A130">
            <v>22160</v>
          </cell>
          <cell r="B130">
            <v>0.26451182740055929</v>
          </cell>
        </row>
        <row r="131">
          <cell r="A131">
            <v>22190</v>
          </cell>
          <cell r="B131">
            <v>0.26670116532486793</v>
          </cell>
        </row>
        <row r="132">
          <cell r="A132">
            <v>22221</v>
          </cell>
          <cell r="B132">
            <v>0.26481037348114683</v>
          </cell>
        </row>
        <row r="133">
          <cell r="A133">
            <v>22251</v>
          </cell>
          <cell r="B133">
            <v>0.25774478290724173</v>
          </cell>
        </row>
        <row r="134">
          <cell r="A134">
            <v>22282</v>
          </cell>
          <cell r="B134">
            <v>0.24978355409157407</v>
          </cell>
        </row>
        <row r="135">
          <cell r="A135">
            <v>22313</v>
          </cell>
          <cell r="B135">
            <v>0.25157483057509927</v>
          </cell>
        </row>
        <row r="136">
          <cell r="A136">
            <v>22341</v>
          </cell>
          <cell r="B136">
            <v>0.25057967697314082</v>
          </cell>
        </row>
        <row r="137">
          <cell r="A137">
            <v>22372</v>
          </cell>
          <cell r="B137">
            <v>0.25286853025764527</v>
          </cell>
        </row>
        <row r="138">
          <cell r="A138">
            <v>22402</v>
          </cell>
          <cell r="B138">
            <v>0.2533661070586245</v>
          </cell>
        </row>
        <row r="139">
          <cell r="A139">
            <v>22433</v>
          </cell>
          <cell r="B139">
            <v>0.25475932210136637</v>
          </cell>
        </row>
        <row r="140">
          <cell r="A140">
            <v>22463</v>
          </cell>
          <cell r="B140">
            <v>0.25983460547135451</v>
          </cell>
        </row>
        <row r="141">
          <cell r="A141">
            <v>22494</v>
          </cell>
          <cell r="B141">
            <v>0.25903848258978773</v>
          </cell>
        </row>
        <row r="142">
          <cell r="A142">
            <v>22525</v>
          </cell>
          <cell r="B142">
            <v>0.26033218227233373</v>
          </cell>
        </row>
        <row r="143">
          <cell r="A143">
            <v>22555</v>
          </cell>
          <cell r="B143">
            <v>0.26063072835292128</v>
          </cell>
        </row>
        <row r="144">
          <cell r="A144">
            <v>22586</v>
          </cell>
          <cell r="B144">
            <v>0.26112830515390051</v>
          </cell>
        </row>
        <row r="145">
          <cell r="A145">
            <v>22616</v>
          </cell>
          <cell r="B145">
            <v>0.26272055091703406</v>
          </cell>
        </row>
        <row r="146">
          <cell r="A146">
            <v>22647</v>
          </cell>
          <cell r="B146">
            <v>0.25953605939076696</v>
          </cell>
        </row>
        <row r="147">
          <cell r="A147">
            <v>22678</v>
          </cell>
          <cell r="B147">
            <v>0.25844139042861264</v>
          </cell>
        </row>
        <row r="148">
          <cell r="A148">
            <v>22706</v>
          </cell>
          <cell r="B148">
            <v>0.25794381362763347</v>
          </cell>
        </row>
        <row r="149">
          <cell r="A149">
            <v>22737</v>
          </cell>
          <cell r="B149">
            <v>0.2578442982674376</v>
          </cell>
        </row>
        <row r="150">
          <cell r="A150">
            <v>22767</v>
          </cell>
          <cell r="B150">
            <v>0.25814284434802515</v>
          </cell>
        </row>
        <row r="151">
          <cell r="A151">
            <v>22798</v>
          </cell>
          <cell r="B151">
            <v>0.25834187506841683</v>
          </cell>
        </row>
        <row r="152">
          <cell r="A152">
            <v>22828</v>
          </cell>
          <cell r="B152">
            <v>0.25893896722959192</v>
          </cell>
        </row>
        <row r="153">
          <cell r="A153">
            <v>22859</v>
          </cell>
          <cell r="B153">
            <v>0.25933702867037528</v>
          </cell>
        </row>
        <row r="154">
          <cell r="A154">
            <v>22890</v>
          </cell>
          <cell r="B154">
            <v>0.25943654403057115</v>
          </cell>
        </row>
        <row r="155">
          <cell r="A155">
            <v>22920</v>
          </cell>
          <cell r="B155">
            <v>0.25854090578880851</v>
          </cell>
        </row>
        <row r="156">
          <cell r="A156">
            <v>22951</v>
          </cell>
          <cell r="B156">
            <v>0.25993412083155037</v>
          </cell>
        </row>
        <row r="157">
          <cell r="A157">
            <v>22981</v>
          </cell>
          <cell r="B157">
            <v>0.26033218227233373</v>
          </cell>
        </row>
        <row r="158">
          <cell r="A158">
            <v>23012</v>
          </cell>
          <cell r="B158">
            <v>0.26053121299272541</v>
          </cell>
        </row>
        <row r="159">
          <cell r="A159">
            <v>23043</v>
          </cell>
          <cell r="B159">
            <v>0.25933702867037528</v>
          </cell>
        </row>
        <row r="160">
          <cell r="A160">
            <v>23071</v>
          </cell>
          <cell r="B160">
            <v>0.2597350901111587</v>
          </cell>
        </row>
        <row r="161">
          <cell r="A161">
            <v>23102</v>
          </cell>
          <cell r="B161">
            <v>0.26023266691213787</v>
          </cell>
        </row>
        <row r="162">
          <cell r="A162">
            <v>23132</v>
          </cell>
          <cell r="B162">
            <v>0.26112830515390051</v>
          </cell>
        </row>
        <row r="163">
          <cell r="A163">
            <v>23163</v>
          </cell>
          <cell r="B163">
            <v>0.26132733587429224</v>
          </cell>
        </row>
        <row r="164">
          <cell r="A164">
            <v>23193</v>
          </cell>
          <cell r="B164">
            <v>0.26232248947625064</v>
          </cell>
        </row>
        <row r="165">
          <cell r="A165">
            <v>23224</v>
          </cell>
          <cell r="B165">
            <v>0.26212345875585896</v>
          </cell>
        </row>
        <row r="166">
          <cell r="A166">
            <v>23255</v>
          </cell>
          <cell r="B166">
            <v>0.2630190969976216</v>
          </cell>
        </row>
        <row r="167">
          <cell r="A167">
            <v>23285</v>
          </cell>
          <cell r="B167">
            <v>0.25883945186939605</v>
          </cell>
        </row>
        <row r="168">
          <cell r="A168">
            <v>23316</v>
          </cell>
          <cell r="B168">
            <v>0.26391473523938419</v>
          </cell>
        </row>
        <row r="169">
          <cell r="A169">
            <v>23346</v>
          </cell>
          <cell r="B169">
            <v>0.2649098888413427</v>
          </cell>
        </row>
        <row r="170">
          <cell r="A170">
            <v>23377</v>
          </cell>
          <cell r="B170">
            <v>0.26610407316369283</v>
          </cell>
        </row>
        <row r="171">
          <cell r="A171">
            <v>23408</v>
          </cell>
          <cell r="B171">
            <v>0.26570601172290942</v>
          </cell>
        </row>
        <row r="172">
          <cell r="A172">
            <v>23437</v>
          </cell>
          <cell r="B172">
            <v>0.2659050424433011</v>
          </cell>
        </row>
        <row r="173">
          <cell r="A173">
            <v>23468</v>
          </cell>
          <cell r="B173">
            <v>0.26650213460447625</v>
          </cell>
        </row>
        <row r="174">
          <cell r="A174">
            <v>23498</v>
          </cell>
          <cell r="B174">
            <v>0.26670116532486793</v>
          </cell>
        </row>
        <row r="175">
          <cell r="A175">
            <v>23529</v>
          </cell>
          <cell r="B175">
            <v>0.26719874212584716</v>
          </cell>
        </row>
        <row r="176">
          <cell r="A176">
            <v>23559</v>
          </cell>
          <cell r="B176">
            <v>0.26660164996467206</v>
          </cell>
        </row>
        <row r="177">
          <cell r="A177">
            <v>23590</v>
          </cell>
          <cell r="B177">
            <v>0.26610407316369283</v>
          </cell>
        </row>
        <row r="178">
          <cell r="A178">
            <v>23621</v>
          </cell>
          <cell r="B178">
            <v>0.2690895339695682</v>
          </cell>
        </row>
        <row r="179">
          <cell r="A179">
            <v>23651</v>
          </cell>
          <cell r="B179">
            <v>0.26351667379860083</v>
          </cell>
        </row>
        <row r="180">
          <cell r="A180">
            <v>23682</v>
          </cell>
          <cell r="B180">
            <v>0.26968662613074329</v>
          </cell>
        </row>
        <row r="181">
          <cell r="A181">
            <v>23712</v>
          </cell>
          <cell r="B181">
            <v>0.26859195716858897</v>
          </cell>
        </row>
        <row r="182">
          <cell r="A182">
            <v>23743</v>
          </cell>
          <cell r="B182">
            <v>0.26829341108800148</v>
          </cell>
        </row>
        <row r="183">
          <cell r="A183">
            <v>23774</v>
          </cell>
          <cell r="B183">
            <v>0.26918904932976406</v>
          </cell>
        </row>
        <row r="184">
          <cell r="A184">
            <v>23802</v>
          </cell>
          <cell r="B184">
            <v>0.27078129509289761</v>
          </cell>
        </row>
        <row r="185">
          <cell r="A185">
            <v>23833</v>
          </cell>
          <cell r="B185">
            <v>0.2710798411734851</v>
          </cell>
        </row>
        <row r="186">
          <cell r="A186">
            <v>23863</v>
          </cell>
          <cell r="B186">
            <v>0.27147790261426852</v>
          </cell>
        </row>
        <row r="187">
          <cell r="A187">
            <v>23894</v>
          </cell>
          <cell r="B187">
            <v>0.27078129509289761</v>
          </cell>
        </row>
        <row r="188">
          <cell r="A188">
            <v>23924</v>
          </cell>
          <cell r="B188">
            <v>0.27098032581328929</v>
          </cell>
        </row>
        <row r="189">
          <cell r="A189">
            <v>23955</v>
          </cell>
          <cell r="B189">
            <v>0.27137838725407265</v>
          </cell>
        </row>
        <row r="190">
          <cell r="A190">
            <v>23986</v>
          </cell>
          <cell r="B190">
            <v>0.2742643326997522</v>
          </cell>
        </row>
        <row r="191">
          <cell r="A191">
            <v>24016</v>
          </cell>
          <cell r="B191">
            <v>0.26839292644819729</v>
          </cell>
        </row>
        <row r="192">
          <cell r="A192">
            <v>24047</v>
          </cell>
          <cell r="B192">
            <v>0.27535900166190652</v>
          </cell>
        </row>
        <row r="193">
          <cell r="A193">
            <v>24077</v>
          </cell>
          <cell r="B193">
            <v>0.27545851702210239</v>
          </cell>
        </row>
        <row r="194">
          <cell r="A194">
            <v>24108</v>
          </cell>
          <cell r="B194">
            <v>0.25625205250430405</v>
          </cell>
        </row>
        <row r="195">
          <cell r="A195">
            <v>24139</v>
          </cell>
          <cell r="B195">
            <v>0.27625463990366916</v>
          </cell>
        </row>
        <row r="196">
          <cell r="A196">
            <v>24167</v>
          </cell>
          <cell r="B196">
            <v>0.2761551245434733</v>
          </cell>
        </row>
        <row r="197">
          <cell r="A197">
            <v>24198</v>
          </cell>
          <cell r="B197">
            <v>0.27575706310268994</v>
          </cell>
        </row>
        <row r="198">
          <cell r="A198">
            <v>24228</v>
          </cell>
          <cell r="B198">
            <v>0.27645367062406084</v>
          </cell>
        </row>
        <row r="199">
          <cell r="A199">
            <v>24259</v>
          </cell>
          <cell r="B199">
            <v>0.27695124742504007</v>
          </cell>
        </row>
        <row r="200">
          <cell r="A200">
            <v>24289</v>
          </cell>
          <cell r="B200">
            <v>0.27734930886582349</v>
          </cell>
        </row>
        <row r="201">
          <cell r="A201">
            <v>24320</v>
          </cell>
          <cell r="B201">
            <v>0.27695124742504007</v>
          </cell>
        </row>
        <row r="202">
          <cell r="A202">
            <v>24351</v>
          </cell>
          <cell r="B202">
            <v>0.27695124742504007</v>
          </cell>
        </row>
        <row r="203">
          <cell r="A203">
            <v>24381</v>
          </cell>
          <cell r="B203">
            <v>0.27446336342014388</v>
          </cell>
        </row>
        <row r="204">
          <cell r="A204">
            <v>24412</v>
          </cell>
          <cell r="B204">
            <v>0.27734930886582349</v>
          </cell>
        </row>
        <row r="205">
          <cell r="A205">
            <v>24442</v>
          </cell>
          <cell r="B205">
            <v>0.2774488242260193</v>
          </cell>
        </row>
        <row r="206">
          <cell r="A206">
            <v>24473</v>
          </cell>
          <cell r="B206">
            <v>0.2781454317473902</v>
          </cell>
        </row>
        <row r="207">
          <cell r="A207">
            <v>24504</v>
          </cell>
          <cell r="B207">
            <v>0.27705076278523594</v>
          </cell>
        </row>
        <row r="208">
          <cell r="A208">
            <v>24532</v>
          </cell>
          <cell r="B208">
            <v>0.27705076278523594</v>
          </cell>
        </row>
        <row r="209">
          <cell r="A209">
            <v>24563</v>
          </cell>
          <cell r="B209">
            <v>0.2768517320648442</v>
          </cell>
        </row>
        <row r="210">
          <cell r="A210">
            <v>24593</v>
          </cell>
          <cell r="B210">
            <v>0.27545851702210239</v>
          </cell>
        </row>
        <row r="211">
          <cell r="A211">
            <v>24624</v>
          </cell>
          <cell r="B211">
            <v>0.27655318598425666</v>
          </cell>
        </row>
        <row r="212">
          <cell r="A212">
            <v>24654</v>
          </cell>
          <cell r="B212">
            <v>0.27565754774249407</v>
          </cell>
        </row>
        <row r="213">
          <cell r="A213">
            <v>24685</v>
          </cell>
          <cell r="B213">
            <v>0.27555803238229826</v>
          </cell>
        </row>
        <row r="214">
          <cell r="A214">
            <v>24716</v>
          </cell>
          <cell r="B214">
            <v>0.27625463990366916</v>
          </cell>
        </row>
        <row r="215">
          <cell r="A215">
            <v>24746</v>
          </cell>
          <cell r="B215">
            <v>0.27525948630171071</v>
          </cell>
        </row>
        <row r="216">
          <cell r="A216">
            <v>24777</v>
          </cell>
          <cell r="B216">
            <v>0.27784688566680271</v>
          </cell>
        </row>
        <row r="217">
          <cell r="A217">
            <v>24807</v>
          </cell>
          <cell r="B217">
            <v>0.27764785494641098</v>
          </cell>
        </row>
        <row r="218">
          <cell r="A218">
            <v>24838</v>
          </cell>
          <cell r="B218">
            <v>0.2768517320648442</v>
          </cell>
        </row>
        <row r="219">
          <cell r="A219">
            <v>24869</v>
          </cell>
          <cell r="B219">
            <v>0.27754833958621516</v>
          </cell>
        </row>
        <row r="220">
          <cell r="A220">
            <v>24898</v>
          </cell>
          <cell r="B220">
            <v>0.27695124742504007</v>
          </cell>
        </row>
        <row r="221">
          <cell r="A221">
            <v>24929</v>
          </cell>
          <cell r="B221">
            <v>0.27715027814543175</v>
          </cell>
        </row>
        <row r="222">
          <cell r="A222">
            <v>24959</v>
          </cell>
          <cell r="B222">
            <v>0.27804591638719439</v>
          </cell>
        </row>
        <row r="223">
          <cell r="A223">
            <v>24990</v>
          </cell>
          <cell r="B223">
            <v>0.27794640102699852</v>
          </cell>
        </row>
        <row r="224">
          <cell r="A224">
            <v>25020</v>
          </cell>
          <cell r="B224">
            <v>0.27924010070954453</v>
          </cell>
        </row>
        <row r="225">
          <cell r="A225">
            <v>25051</v>
          </cell>
          <cell r="B225">
            <v>0.2826236229562033</v>
          </cell>
        </row>
        <row r="226">
          <cell r="A226">
            <v>25082</v>
          </cell>
          <cell r="B226">
            <v>0.28421586871933685</v>
          </cell>
        </row>
        <row r="227">
          <cell r="A227">
            <v>25112</v>
          </cell>
          <cell r="B227">
            <v>0.28123040791346149</v>
          </cell>
        </row>
        <row r="228">
          <cell r="A228">
            <v>25143</v>
          </cell>
          <cell r="B228">
            <v>0.28461393016012027</v>
          </cell>
        </row>
        <row r="229">
          <cell r="A229">
            <v>25173</v>
          </cell>
          <cell r="B229">
            <v>0.2845144147999244</v>
          </cell>
        </row>
        <row r="230">
          <cell r="A230">
            <v>25204</v>
          </cell>
          <cell r="B230">
            <v>0.28411635335914098</v>
          </cell>
        </row>
        <row r="231">
          <cell r="A231">
            <v>25235</v>
          </cell>
          <cell r="B231">
            <v>0.28441489943972853</v>
          </cell>
        </row>
        <row r="232">
          <cell r="A232">
            <v>25263</v>
          </cell>
          <cell r="B232">
            <v>0.28511150696109944</v>
          </cell>
        </row>
        <row r="233">
          <cell r="A233">
            <v>25294</v>
          </cell>
          <cell r="B233">
            <v>0.28550956840188285</v>
          </cell>
        </row>
        <row r="234">
          <cell r="A234">
            <v>25324</v>
          </cell>
          <cell r="B234">
            <v>0.28620617592325376</v>
          </cell>
        </row>
        <row r="235">
          <cell r="A235">
            <v>25355</v>
          </cell>
          <cell r="B235">
            <v>0.28740036024560389</v>
          </cell>
        </row>
        <row r="236">
          <cell r="A236">
            <v>25385</v>
          </cell>
          <cell r="B236">
            <v>0.28869405992814995</v>
          </cell>
        </row>
        <row r="237">
          <cell r="A237">
            <v>25416</v>
          </cell>
          <cell r="B237">
            <v>0.28789793704658317</v>
          </cell>
        </row>
        <row r="238">
          <cell r="A238">
            <v>25447</v>
          </cell>
          <cell r="B238">
            <v>0.2883955138475624</v>
          </cell>
        </row>
        <row r="239">
          <cell r="A239">
            <v>25477</v>
          </cell>
          <cell r="B239">
            <v>0.28590762984266621</v>
          </cell>
        </row>
        <row r="240">
          <cell r="A240">
            <v>25508</v>
          </cell>
          <cell r="B240">
            <v>0.28949018280971667</v>
          </cell>
        </row>
        <row r="241">
          <cell r="A241">
            <v>25538</v>
          </cell>
          <cell r="B241">
            <v>0.29088339785245854</v>
          </cell>
        </row>
        <row r="242">
          <cell r="A242">
            <v>25569</v>
          </cell>
          <cell r="B242">
            <v>0.29038582105147931</v>
          </cell>
        </row>
        <row r="243">
          <cell r="A243">
            <v>25600</v>
          </cell>
          <cell r="B243">
            <v>0.29078388249226267</v>
          </cell>
        </row>
        <row r="244">
          <cell r="A244">
            <v>25628</v>
          </cell>
          <cell r="B244">
            <v>0.29108242857285022</v>
          </cell>
        </row>
        <row r="245">
          <cell r="A245">
            <v>25659</v>
          </cell>
          <cell r="B245">
            <v>0.29138097465343776</v>
          </cell>
        </row>
        <row r="246">
          <cell r="A246">
            <v>25689</v>
          </cell>
          <cell r="B246">
            <v>0.29088339785245854</v>
          </cell>
        </row>
        <row r="247">
          <cell r="A247">
            <v>25720</v>
          </cell>
          <cell r="B247">
            <v>0.29108242857285022</v>
          </cell>
        </row>
        <row r="248">
          <cell r="A248">
            <v>25750</v>
          </cell>
          <cell r="B248">
            <v>0.29406788937872563</v>
          </cell>
        </row>
        <row r="249">
          <cell r="A249">
            <v>25781</v>
          </cell>
          <cell r="B249">
            <v>0.29635674266323009</v>
          </cell>
        </row>
        <row r="250">
          <cell r="A250">
            <v>25812</v>
          </cell>
          <cell r="B250">
            <v>0.29774995770597196</v>
          </cell>
        </row>
        <row r="251">
          <cell r="A251">
            <v>25842</v>
          </cell>
          <cell r="B251">
            <v>0.298347049867147</v>
          </cell>
        </row>
        <row r="252">
          <cell r="A252">
            <v>25873</v>
          </cell>
          <cell r="B252">
            <v>0.29894414202832209</v>
          </cell>
        </row>
        <row r="253">
          <cell r="A253">
            <v>25903</v>
          </cell>
          <cell r="B253">
            <v>0.30173057211380577</v>
          </cell>
        </row>
        <row r="254">
          <cell r="A254">
            <v>25934</v>
          </cell>
          <cell r="B254">
            <v>0.29974026490988886</v>
          </cell>
        </row>
        <row r="255">
          <cell r="A255">
            <v>25965</v>
          </cell>
          <cell r="B255">
            <v>0.30083493387204319</v>
          </cell>
        </row>
        <row r="256">
          <cell r="A256">
            <v>25993</v>
          </cell>
          <cell r="B256">
            <v>0.30212863355458919</v>
          </cell>
        </row>
        <row r="257">
          <cell r="A257">
            <v>26024</v>
          </cell>
          <cell r="B257">
            <v>0.302228148914785</v>
          </cell>
        </row>
        <row r="258">
          <cell r="A258">
            <v>26054</v>
          </cell>
          <cell r="B258">
            <v>0.30183008747400158</v>
          </cell>
        </row>
        <row r="259">
          <cell r="A259">
            <v>26085</v>
          </cell>
          <cell r="B259">
            <v>0.30362136395752687</v>
          </cell>
        </row>
        <row r="260">
          <cell r="A260">
            <v>26115</v>
          </cell>
          <cell r="B260">
            <v>0.30401942539831023</v>
          </cell>
        </row>
        <row r="261">
          <cell r="A261">
            <v>26146</v>
          </cell>
          <cell r="B261">
            <v>0.30471603291968119</v>
          </cell>
        </row>
        <row r="262">
          <cell r="A262">
            <v>26177</v>
          </cell>
          <cell r="B262">
            <v>0.3054126404410521</v>
          </cell>
        </row>
        <row r="263">
          <cell r="A263">
            <v>26207</v>
          </cell>
          <cell r="B263">
            <v>0.30600973260222719</v>
          </cell>
        </row>
        <row r="264">
          <cell r="A264">
            <v>26238</v>
          </cell>
          <cell r="B264">
            <v>0.30710440156438146</v>
          </cell>
        </row>
        <row r="265">
          <cell r="A265">
            <v>26268</v>
          </cell>
          <cell r="B265">
            <v>0.30969180092947352</v>
          </cell>
        </row>
        <row r="266">
          <cell r="A266">
            <v>26299</v>
          </cell>
          <cell r="B266">
            <v>0.30909470876829837</v>
          </cell>
        </row>
        <row r="267">
          <cell r="A267">
            <v>26330</v>
          </cell>
          <cell r="B267">
            <v>0.30959228556927765</v>
          </cell>
        </row>
        <row r="268">
          <cell r="A268">
            <v>26359</v>
          </cell>
          <cell r="B268">
            <v>0.3092937394886901</v>
          </cell>
        </row>
        <row r="269">
          <cell r="A269">
            <v>26390</v>
          </cell>
          <cell r="B269">
            <v>0.30989083164986519</v>
          </cell>
        </row>
        <row r="270">
          <cell r="A270">
            <v>26420</v>
          </cell>
          <cell r="B270">
            <v>0.3105874391712361</v>
          </cell>
        </row>
        <row r="271">
          <cell r="A271">
            <v>26451</v>
          </cell>
          <cell r="B271">
            <v>0.31128404669260701</v>
          </cell>
        </row>
        <row r="272">
          <cell r="A272">
            <v>26481</v>
          </cell>
          <cell r="B272">
            <v>0.31168210813339042</v>
          </cell>
        </row>
        <row r="273">
          <cell r="A273">
            <v>26512</v>
          </cell>
          <cell r="B273">
            <v>0.3118811388537821</v>
          </cell>
        </row>
        <row r="274">
          <cell r="A274">
            <v>26543</v>
          </cell>
          <cell r="B274">
            <v>0.31596126862181179</v>
          </cell>
        </row>
        <row r="275">
          <cell r="A275">
            <v>26573</v>
          </cell>
          <cell r="B275">
            <v>0.31606078398200765</v>
          </cell>
        </row>
        <row r="276">
          <cell r="A276">
            <v>26604</v>
          </cell>
          <cell r="B276">
            <v>0.31635933006259515</v>
          </cell>
        </row>
        <row r="277">
          <cell r="A277">
            <v>26634</v>
          </cell>
          <cell r="B277">
            <v>0.31854866798690379</v>
          </cell>
        </row>
        <row r="278">
          <cell r="A278">
            <v>26665</v>
          </cell>
          <cell r="B278">
            <v>0.31934479086847062</v>
          </cell>
        </row>
        <row r="279">
          <cell r="A279">
            <v>26696</v>
          </cell>
          <cell r="B279">
            <v>0.3199418830296456</v>
          </cell>
        </row>
        <row r="280">
          <cell r="A280">
            <v>26724</v>
          </cell>
          <cell r="B280">
            <v>0.3208375212714083</v>
          </cell>
        </row>
        <row r="281">
          <cell r="A281">
            <v>26755</v>
          </cell>
          <cell r="B281">
            <v>0.32103655199179992</v>
          </cell>
        </row>
        <row r="282">
          <cell r="A282">
            <v>26785</v>
          </cell>
          <cell r="B282">
            <v>0.32183267487336675</v>
          </cell>
        </row>
        <row r="283">
          <cell r="A283">
            <v>26816</v>
          </cell>
          <cell r="B283">
            <v>0.32292734383552107</v>
          </cell>
        </row>
        <row r="284">
          <cell r="A284">
            <v>26846</v>
          </cell>
          <cell r="B284">
            <v>0.32352443599669611</v>
          </cell>
        </row>
        <row r="285">
          <cell r="A285">
            <v>26877</v>
          </cell>
          <cell r="B285">
            <v>0.32422104351806702</v>
          </cell>
        </row>
        <row r="286">
          <cell r="A286">
            <v>26908</v>
          </cell>
          <cell r="B286">
            <v>0.32929632688805521</v>
          </cell>
        </row>
        <row r="287">
          <cell r="A287">
            <v>26938</v>
          </cell>
          <cell r="B287">
            <v>0.3317842108929514</v>
          </cell>
        </row>
        <row r="288">
          <cell r="A288">
            <v>26969</v>
          </cell>
          <cell r="B288">
            <v>0.33357548737647663</v>
          </cell>
        </row>
        <row r="289">
          <cell r="A289">
            <v>26999</v>
          </cell>
          <cell r="B289">
            <v>0.33666046354254781</v>
          </cell>
        </row>
        <row r="290">
          <cell r="A290">
            <v>27030</v>
          </cell>
          <cell r="B290">
            <v>0.33586434066098103</v>
          </cell>
        </row>
        <row r="291">
          <cell r="A291">
            <v>27061</v>
          </cell>
          <cell r="B291">
            <v>0.33785464786489799</v>
          </cell>
        </row>
        <row r="292">
          <cell r="A292">
            <v>27089</v>
          </cell>
          <cell r="B292">
            <v>0.33884980146685639</v>
          </cell>
        </row>
        <row r="293">
          <cell r="A293">
            <v>27120</v>
          </cell>
          <cell r="B293">
            <v>0.33825270930568135</v>
          </cell>
        </row>
        <row r="294">
          <cell r="A294">
            <v>27150</v>
          </cell>
          <cell r="B294">
            <v>0.3385512553862689</v>
          </cell>
        </row>
        <row r="295">
          <cell r="A295">
            <v>27181</v>
          </cell>
          <cell r="B295">
            <v>0.3427309005144944</v>
          </cell>
        </row>
        <row r="296">
          <cell r="A296">
            <v>27211</v>
          </cell>
          <cell r="B296">
            <v>0.35576741270015028</v>
          </cell>
        </row>
        <row r="297">
          <cell r="A297">
            <v>27242</v>
          </cell>
          <cell r="B297">
            <v>0.36094221143033434</v>
          </cell>
        </row>
        <row r="298">
          <cell r="A298">
            <v>27273</v>
          </cell>
          <cell r="B298">
            <v>0.36502234119836396</v>
          </cell>
        </row>
        <row r="299">
          <cell r="A299">
            <v>27303</v>
          </cell>
          <cell r="B299">
            <v>0.36850537880521861</v>
          </cell>
        </row>
        <row r="300">
          <cell r="A300">
            <v>27334</v>
          </cell>
          <cell r="B300">
            <v>0.37049568600913552</v>
          </cell>
        </row>
        <row r="301">
          <cell r="A301">
            <v>27364</v>
          </cell>
          <cell r="B301">
            <v>0.37577000009951533</v>
          </cell>
        </row>
        <row r="302">
          <cell r="A302">
            <v>27395</v>
          </cell>
          <cell r="B302">
            <v>0.37586951545971126</v>
          </cell>
        </row>
        <row r="303">
          <cell r="A303">
            <v>27426</v>
          </cell>
          <cell r="B303">
            <v>0.37865594554519488</v>
          </cell>
        </row>
        <row r="304">
          <cell r="A304">
            <v>27454</v>
          </cell>
          <cell r="B304">
            <v>0.38124334491028694</v>
          </cell>
        </row>
        <row r="305">
          <cell r="A305">
            <v>27485</v>
          </cell>
          <cell r="B305">
            <v>0.38313413675400798</v>
          </cell>
        </row>
        <row r="306">
          <cell r="A306">
            <v>27515</v>
          </cell>
          <cell r="B306">
            <v>0.3842288057161623</v>
          </cell>
        </row>
        <row r="307">
          <cell r="A307">
            <v>27546</v>
          </cell>
          <cell r="B307">
            <v>0.38661717436086263</v>
          </cell>
        </row>
        <row r="308">
          <cell r="A308">
            <v>27576</v>
          </cell>
          <cell r="B308">
            <v>0.38860748156477953</v>
          </cell>
        </row>
        <row r="309">
          <cell r="A309">
            <v>27607</v>
          </cell>
          <cell r="B309">
            <v>0.39069730412889231</v>
          </cell>
        </row>
        <row r="310">
          <cell r="A310">
            <v>27638</v>
          </cell>
          <cell r="B310">
            <v>0.39228954989202586</v>
          </cell>
        </row>
        <row r="311">
          <cell r="A311">
            <v>27668</v>
          </cell>
          <cell r="B311">
            <v>0.39587210285907631</v>
          </cell>
        </row>
        <row r="312">
          <cell r="A312">
            <v>27699</v>
          </cell>
          <cell r="B312">
            <v>0.39885756366495168</v>
          </cell>
        </row>
        <row r="313">
          <cell r="A313">
            <v>27729</v>
          </cell>
          <cell r="B313">
            <v>0.40572412351846515</v>
          </cell>
        </row>
        <row r="314">
          <cell r="A314">
            <v>27760</v>
          </cell>
          <cell r="B314">
            <v>0.40144496303004373</v>
          </cell>
        </row>
        <row r="315">
          <cell r="A315">
            <v>27791</v>
          </cell>
          <cell r="B315">
            <v>0.40572412351846515</v>
          </cell>
        </row>
        <row r="316">
          <cell r="A316">
            <v>27820</v>
          </cell>
          <cell r="B316">
            <v>0.40691830784081523</v>
          </cell>
        </row>
        <row r="317">
          <cell r="A317">
            <v>27851</v>
          </cell>
          <cell r="B317">
            <v>0.40950570720590723</v>
          </cell>
        </row>
        <row r="318">
          <cell r="A318">
            <v>27881</v>
          </cell>
          <cell r="B318">
            <v>0.41468050593609129</v>
          </cell>
        </row>
        <row r="319">
          <cell r="A319">
            <v>27912</v>
          </cell>
          <cell r="B319">
            <v>0.41776548210216247</v>
          </cell>
        </row>
        <row r="320">
          <cell r="A320">
            <v>27942</v>
          </cell>
          <cell r="B320">
            <v>0.41935772786529601</v>
          </cell>
        </row>
        <row r="321">
          <cell r="A321">
            <v>27973</v>
          </cell>
          <cell r="B321">
            <v>0.42154706578960466</v>
          </cell>
        </row>
        <row r="322">
          <cell r="A322">
            <v>28004</v>
          </cell>
          <cell r="B322">
            <v>0.42711992596057208</v>
          </cell>
        </row>
        <row r="323">
          <cell r="A323">
            <v>28034</v>
          </cell>
          <cell r="B323">
            <v>0.42831411028292216</v>
          </cell>
        </row>
        <row r="324">
          <cell r="A324">
            <v>28065</v>
          </cell>
          <cell r="B324">
            <v>0.42980684068585984</v>
          </cell>
        </row>
        <row r="325">
          <cell r="A325">
            <v>28095</v>
          </cell>
          <cell r="B325">
            <v>0.43398648581408544</v>
          </cell>
        </row>
        <row r="326">
          <cell r="A326">
            <v>28126</v>
          </cell>
          <cell r="B326">
            <v>0.43607630837819822</v>
          </cell>
        </row>
        <row r="327">
          <cell r="A327">
            <v>28157</v>
          </cell>
          <cell r="B327">
            <v>0.43926079990446526</v>
          </cell>
        </row>
        <row r="328">
          <cell r="A328">
            <v>28185</v>
          </cell>
          <cell r="B328">
            <v>0.44025595350642377</v>
          </cell>
        </row>
        <row r="329">
          <cell r="A329">
            <v>28216</v>
          </cell>
          <cell r="B329">
            <v>0.44324141431229913</v>
          </cell>
        </row>
        <row r="330">
          <cell r="A330">
            <v>28246</v>
          </cell>
          <cell r="B330">
            <v>0.445928329037587</v>
          </cell>
        </row>
        <row r="331">
          <cell r="A331">
            <v>28277</v>
          </cell>
          <cell r="B331">
            <v>0.44951088200463746</v>
          </cell>
        </row>
        <row r="332">
          <cell r="A332">
            <v>28307</v>
          </cell>
          <cell r="B332">
            <v>0.45199876600953359</v>
          </cell>
        </row>
        <row r="333">
          <cell r="A333">
            <v>28338</v>
          </cell>
          <cell r="B333">
            <v>0.4539890732134505</v>
          </cell>
        </row>
        <row r="334">
          <cell r="A334">
            <v>28369</v>
          </cell>
          <cell r="B334">
            <v>0.45687501865913005</v>
          </cell>
        </row>
        <row r="335">
          <cell r="A335">
            <v>28399</v>
          </cell>
          <cell r="B335">
            <v>0.45906435658343869</v>
          </cell>
        </row>
        <row r="336">
          <cell r="A336">
            <v>28430</v>
          </cell>
          <cell r="B336">
            <v>0.46224884810970579</v>
          </cell>
        </row>
        <row r="337">
          <cell r="A337">
            <v>28460</v>
          </cell>
          <cell r="B337">
            <v>0.46911540796321916</v>
          </cell>
        </row>
        <row r="338">
          <cell r="A338">
            <v>28491</v>
          </cell>
          <cell r="B338">
            <v>0.47050862300596102</v>
          </cell>
        </row>
        <row r="339">
          <cell r="A339">
            <v>28522</v>
          </cell>
          <cell r="B339">
            <v>0.47170280732831116</v>
          </cell>
        </row>
        <row r="340">
          <cell r="A340">
            <v>28550</v>
          </cell>
          <cell r="B340">
            <v>0.47269796093026961</v>
          </cell>
        </row>
        <row r="341">
          <cell r="A341">
            <v>28581</v>
          </cell>
          <cell r="B341">
            <v>0.47399166061281561</v>
          </cell>
        </row>
        <row r="342">
          <cell r="A342">
            <v>28611</v>
          </cell>
          <cell r="B342">
            <v>0.47568342173614497</v>
          </cell>
        </row>
        <row r="343">
          <cell r="A343">
            <v>28642</v>
          </cell>
          <cell r="B343">
            <v>0.47906694398280375</v>
          </cell>
        </row>
        <row r="344">
          <cell r="A344">
            <v>28672</v>
          </cell>
          <cell r="B344">
            <v>0.48225143550907085</v>
          </cell>
        </row>
        <row r="345">
          <cell r="A345">
            <v>28703</v>
          </cell>
          <cell r="B345">
            <v>0.48523689631494621</v>
          </cell>
        </row>
        <row r="346">
          <cell r="A346">
            <v>28734</v>
          </cell>
          <cell r="B346">
            <v>0.49120781792669699</v>
          </cell>
        </row>
        <row r="347">
          <cell r="A347">
            <v>28764</v>
          </cell>
          <cell r="B347">
            <v>0.49299909441022222</v>
          </cell>
        </row>
        <row r="348">
          <cell r="A348">
            <v>28795</v>
          </cell>
          <cell r="B348">
            <v>0.4944918248131599</v>
          </cell>
        </row>
        <row r="349">
          <cell r="A349">
            <v>28825</v>
          </cell>
          <cell r="B349">
            <v>0.50245305362882764</v>
          </cell>
        </row>
        <row r="350">
          <cell r="A350">
            <v>28856</v>
          </cell>
          <cell r="B350">
            <v>0.50394578403176538</v>
          </cell>
        </row>
        <row r="351">
          <cell r="A351">
            <v>28887</v>
          </cell>
          <cell r="B351">
            <v>0.50653318339685727</v>
          </cell>
        </row>
        <row r="352">
          <cell r="A352">
            <v>28915</v>
          </cell>
          <cell r="B352">
            <v>0.51160846676684546</v>
          </cell>
        </row>
        <row r="353">
          <cell r="A353">
            <v>28946</v>
          </cell>
          <cell r="B353">
            <v>0.51867405734075056</v>
          </cell>
        </row>
        <row r="354">
          <cell r="A354">
            <v>28976</v>
          </cell>
          <cell r="B354">
            <v>0.52305273318936785</v>
          </cell>
        </row>
        <row r="355">
          <cell r="A355">
            <v>29007</v>
          </cell>
          <cell r="B355">
            <v>0.52892413944092276</v>
          </cell>
        </row>
        <row r="356">
          <cell r="A356">
            <v>29037</v>
          </cell>
          <cell r="B356">
            <v>0.53589021465463194</v>
          </cell>
        </row>
        <row r="357">
          <cell r="A357">
            <v>29068</v>
          </cell>
          <cell r="B357">
            <v>0.54444853563147477</v>
          </cell>
        </row>
        <row r="358">
          <cell r="A358">
            <v>29099</v>
          </cell>
          <cell r="B358">
            <v>0.56186372366574788</v>
          </cell>
        </row>
        <row r="359">
          <cell r="A359">
            <v>29129</v>
          </cell>
          <cell r="B359">
            <v>0.57868181953884579</v>
          </cell>
        </row>
        <row r="360">
          <cell r="A360">
            <v>29160</v>
          </cell>
          <cell r="B360">
            <v>0.58883238627882217</v>
          </cell>
        </row>
        <row r="361">
          <cell r="A361">
            <v>29190</v>
          </cell>
          <cell r="B361">
            <v>0.60545145143152856</v>
          </cell>
        </row>
        <row r="362">
          <cell r="A362">
            <v>29221</v>
          </cell>
          <cell r="B362">
            <v>0.60903400439857902</v>
          </cell>
        </row>
        <row r="363">
          <cell r="A363">
            <v>29252</v>
          </cell>
          <cell r="B363">
            <v>0.6185874789773802</v>
          </cell>
        </row>
        <row r="364">
          <cell r="A364">
            <v>29281</v>
          </cell>
          <cell r="B364">
            <v>0.62535452347069775</v>
          </cell>
        </row>
        <row r="365">
          <cell r="A365">
            <v>29312</v>
          </cell>
          <cell r="B365">
            <v>0.63470896732910731</v>
          </cell>
        </row>
        <row r="366">
          <cell r="A366">
            <v>29342</v>
          </cell>
          <cell r="B366">
            <v>0.64137649646222905</v>
          </cell>
        </row>
        <row r="367">
          <cell r="A367">
            <v>29373</v>
          </cell>
          <cell r="B367">
            <v>0.64963627135848423</v>
          </cell>
        </row>
        <row r="368">
          <cell r="A368">
            <v>29403</v>
          </cell>
          <cell r="B368">
            <v>0.65739846945376024</v>
          </cell>
        </row>
        <row r="369">
          <cell r="A369">
            <v>29434</v>
          </cell>
          <cell r="B369">
            <v>0.66456357538786115</v>
          </cell>
        </row>
        <row r="370">
          <cell r="A370">
            <v>29465</v>
          </cell>
          <cell r="B370">
            <v>0.67650541861136271</v>
          </cell>
        </row>
        <row r="371">
          <cell r="A371">
            <v>29495</v>
          </cell>
          <cell r="B371">
            <v>0.69919492073601575</v>
          </cell>
        </row>
        <row r="372">
          <cell r="A372">
            <v>29526</v>
          </cell>
          <cell r="B372">
            <v>0.70914645675560029</v>
          </cell>
        </row>
        <row r="373">
          <cell r="A373">
            <v>29556</v>
          </cell>
          <cell r="B373">
            <v>0.72427279150536894</v>
          </cell>
        </row>
        <row r="374">
          <cell r="A374">
            <v>29587</v>
          </cell>
          <cell r="B374">
            <v>0.73462238896573684</v>
          </cell>
        </row>
        <row r="375">
          <cell r="A375">
            <v>29618</v>
          </cell>
          <cell r="B375">
            <v>0.73720978833082884</v>
          </cell>
        </row>
        <row r="376">
          <cell r="A376">
            <v>29646</v>
          </cell>
          <cell r="B376">
            <v>0.74039427985709605</v>
          </cell>
        </row>
        <row r="377">
          <cell r="A377">
            <v>29677</v>
          </cell>
          <cell r="B377">
            <v>0.74357877138336304</v>
          </cell>
        </row>
        <row r="378">
          <cell r="A378">
            <v>29707</v>
          </cell>
          <cell r="B378">
            <v>0.75323176132236014</v>
          </cell>
        </row>
        <row r="379">
          <cell r="A379">
            <v>29738</v>
          </cell>
          <cell r="B379">
            <v>0.76139202085841962</v>
          </cell>
        </row>
        <row r="380">
          <cell r="A380">
            <v>29768</v>
          </cell>
          <cell r="B380">
            <v>0.77054743399643744</v>
          </cell>
        </row>
        <row r="381">
          <cell r="A381">
            <v>29799</v>
          </cell>
          <cell r="B381">
            <v>0.77522465592564227</v>
          </cell>
        </row>
        <row r="382">
          <cell r="A382">
            <v>29830</v>
          </cell>
          <cell r="B382">
            <v>0.783782976902485</v>
          </cell>
        </row>
        <row r="383">
          <cell r="A383">
            <v>29860</v>
          </cell>
          <cell r="B383">
            <v>0.78567376874620609</v>
          </cell>
        </row>
        <row r="384">
          <cell r="A384">
            <v>29891</v>
          </cell>
          <cell r="B384">
            <v>0.79303790540069863</v>
          </cell>
        </row>
        <row r="385">
          <cell r="A385">
            <v>29921</v>
          </cell>
          <cell r="B385">
            <v>0.80060107277558301</v>
          </cell>
        </row>
        <row r="386">
          <cell r="A386">
            <v>29952</v>
          </cell>
          <cell r="B386">
            <v>0.80896036303203411</v>
          </cell>
        </row>
        <row r="387">
          <cell r="A387">
            <v>29983</v>
          </cell>
          <cell r="B387">
            <v>0.81224436991849702</v>
          </cell>
        </row>
        <row r="388">
          <cell r="A388">
            <v>30011</v>
          </cell>
          <cell r="B388">
            <v>0.81403564640202219</v>
          </cell>
        </row>
        <row r="389">
          <cell r="A389">
            <v>30042</v>
          </cell>
          <cell r="B389">
            <v>0.81562789216515563</v>
          </cell>
        </row>
        <row r="390">
          <cell r="A390">
            <v>30072</v>
          </cell>
          <cell r="B390">
            <v>0.84030770149372558</v>
          </cell>
        </row>
        <row r="391">
          <cell r="A391">
            <v>30103</v>
          </cell>
          <cell r="B391">
            <v>0.84239752405783841</v>
          </cell>
        </row>
        <row r="392">
          <cell r="A392">
            <v>30133</v>
          </cell>
          <cell r="B392">
            <v>0.84717426134723894</v>
          </cell>
        </row>
        <row r="393">
          <cell r="A393">
            <v>30164</v>
          </cell>
          <cell r="B393">
            <v>0.84986117607252687</v>
          </cell>
        </row>
        <row r="394">
          <cell r="A394">
            <v>30195</v>
          </cell>
          <cell r="B394">
            <v>0.8546379133619274</v>
          </cell>
        </row>
        <row r="395">
          <cell r="A395">
            <v>30225</v>
          </cell>
          <cell r="B395">
            <v>0.85702628200662778</v>
          </cell>
        </row>
        <row r="396">
          <cell r="A396">
            <v>30256</v>
          </cell>
          <cell r="B396">
            <v>0.86050931961348243</v>
          </cell>
        </row>
        <row r="397">
          <cell r="A397">
            <v>30286</v>
          </cell>
          <cell r="B397">
            <v>0.86329574969896605</v>
          </cell>
        </row>
        <row r="398">
          <cell r="A398">
            <v>30317</v>
          </cell>
          <cell r="B398">
            <v>0.86269865753779096</v>
          </cell>
        </row>
        <row r="399">
          <cell r="A399">
            <v>30348</v>
          </cell>
          <cell r="B399">
            <v>0.86458944938151205</v>
          </cell>
        </row>
        <row r="400">
          <cell r="A400">
            <v>30376</v>
          </cell>
          <cell r="B400">
            <v>0.87294873963796316</v>
          </cell>
        </row>
        <row r="401">
          <cell r="A401">
            <v>30407</v>
          </cell>
          <cell r="B401">
            <v>0.87921820733030143</v>
          </cell>
        </row>
        <row r="402">
          <cell r="A402">
            <v>30437</v>
          </cell>
          <cell r="B402">
            <v>0.88260172957696026</v>
          </cell>
        </row>
        <row r="403">
          <cell r="A403">
            <v>30468</v>
          </cell>
          <cell r="B403">
            <v>0.8880750743877317</v>
          </cell>
        </row>
        <row r="404">
          <cell r="A404">
            <v>30498</v>
          </cell>
          <cell r="B404">
            <v>0.89265278095674072</v>
          </cell>
        </row>
        <row r="405">
          <cell r="A405">
            <v>30529</v>
          </cell>
          <cell r="B405">
            <v>0.89713097216555382</v>
          </cell>
        </row>
        <row r="406">
          <cell r="A406">
            <v>30560</v>
          </cell>
          <cell r="B406">
            <v>0.90787863106670519</v>
          </cell>
        </row>
        <row r="407">
          <cell r="A407">
            <v>30590</v>
          </cell>
          <cell r="B407">
            <v>0.91514325236100191</v>
          </cell>
        </row>
        <row r="408">
          <cell r="A408">
            <v>30621</v>
          </cell>
          <cell r="B408">
            <v>0.91783016708628984</v>
          </cell>
        </row>
        <row r="409">
          <cell r="A409">
            <v>30651</v>
          </cell>
          <cell r="B409">
            <v>0.92330351189706139</v>
          </cell>
        </row>
        <row r="410">
          <cell r="A410">
            <v>30682</v>
          </cell>
          <cell r="B410">
            <v>0.92250738901549467</v>
          </cell>
        </row>
        <row r="411">
          <cell r="A411">
            <v>30713</v>
          </cell>
          <cell r="B411">
            <v>0.92947346422920385</v>
          </cell>
        </row>
        <row r="412">
          <cell r="A412">
            <v>30742</v>
          </cell>
          <cell r="B412">
            <v>0.94042015385074695</v>
          </cell>
        </row>
        <row r="413">
          <cell r="A413">
            <v>30773</v>
          </cell>
          <cell r="B413">
            <v>0.96032322588991614</v>
          </cell>
        </row>
        <row r="414">
          <cell r="A414">
            <v>30803</v>
          </cell>
          <cell r="B414">
            <v>0.98022629792908544</v>
          </cell>
        </row>
        <row r="415">
          <cell r="A415">
            <v>30834</v>
          </cell>
          <cell r="B415">
            <v>0.99017783394866998</v>
          </cell>
        </row>
        <row r="416">
          <cell r="A416">
            <v>30864</v>
          </cell>
          <cell r="B416">
            <v>1.00311483077413</v>
          </cell>
        </row>
        <row r="417">
          <cell r="A417">
            <v>30895</v>
          </cell>
          <cell r="B417">
            <v>1.0120712131917562</v>
          </cell>
        </row>
        <row r="418">
          <cell r="A418">
            <v>30926</v>
          </cell>
          <cell r="B418">
            <v>1.0309791316289669</v>
          </cell>
        </row>
        <row r="419">
          <cell r="A419">
            <v>30956</v>
          </cell>
          <cell r="B419">
            <v>1.0449112820563855</v>
          </cell>
        </row>
        <row r="420">
          <cell r="A420">
            <v>30987</v>
          </cell>
          <cell r="B420">
            <v>1.0598385860857624</v>
          </cell>
        </row>
        <row r="421">
          <cell r="A421">
            <v>31017</v>
          </cell>
          <cell r="B421">
            <v>1.0687949685033886</v>
          </cell>
        </row>
        <row r="422">
          <cell r="A422">
            <v>31048</v>
          </cell>
          <cell r="B422">
            <v>1.0797416581249317</v>
          </cell>
        </row>
        <row r="423">
          <cell r="A423">
            <v>31079</v>
          </cell>
          <cell r="B423">
            <v>1.0757610437170977</v>
          </cell>
        </row>
        <row r="424">
          <cell r="A424">
            <v>31107</v>
          </cell>
          <cell r="B424">
            <v>1.0797416581249317</v>
          </cell>
        </row>
        <row r="425">
          <cell r="A425">
            <v>31138</v>
          </cell>
          <cell r="B425">
            <v>1.0946689621543086</v>
          </cell>
        </row>
        <row r="426">
          <cell r="A426">
            <v>31168</v>
          </cell>
          <cell r="B426">
            <v>1.0926786549503915</v>
          </cell>
        </row>
        <row r="427">
          <cell r="A427">
            <v>31199</v>
          </cell>
          <cell r="B427">
            <v>1.0986495765621425</v>
          </cell>
        </row>
        <row r="428">
          <cell r="A428">
            <v>31229</v>
          </cell>
          <cell r="B428">
            <v>1.1066108053778101</v>
          </cell>
        </row>
        <row r="429">
          <cell r="A429">
            <v>31260</v>
          </cell>
          <cell r="B429">
            <v>1.108601112581727</v>
          </cell>
        </row>
        <row r="430">
          <cell r="A430">
            <v>31291</v>
          </cell>
          <cell r="B430">
            <v>1.1175574949993532</v>
          </cell>
        </row>
        <row r="431">
          <cell r="A431">
            <v>31321</v>
          </cell>
          <cell r="B431">
            <v>1.1314896454267718</v>
          </cell>
        </row>
        <row r="432">
          <cell r="A432">
            <v>31352</v>
          </cell>
          <cell r="B432">
            <v>1.1503975638639825</v>
          </cell>
        </row>
        <row r="433">
          <cell r="A433">
            <v>31382</v>
          </cell>
          <cell r="B433">
            <v>1.166320021495318</v>
          </cell>
        </row>
        <row r="434">
          <cell r="A434">
            <v>31413</v>
          </cell>
          <cell r="B434">
            <v>1.1872182471364456</v>
          </cell>
        </row>
        <row r="435">
          <cell r="A435">
            <v>31444</v>
          </cell>
          <cell r="B435">
            <v>1.1981649367579887</v>
          </cell>
        </row>
        <row r="436">
          <cell r="A436">
            <v>31472</v>
          </cell>
          <cell r="B436">
            <v>1.1892085543403625</v>
          </cell>
        </row>
        <row r="437">
          <cell r="A437">
            <v>31503</v>
          </cell>
          <cell r="B437">
            <v>1.1902037079423209</v>
          </cell>
        </row>
        <row r="438">
          <cell r="A438">
            <v>31533</v>
          </cell>
          <cell r="B438">
            <v>1.2061261655736564</v>
          </cell>
        </row>
        <row r="439">
          <cell r="A439">
            <v>31564</v>
          </cell>
          <cell r="B439">
            <v>1.2260292376128257</v>
          </cell>
        </row>
        <row r="440">
          <cell r="A440">
            <v>31594</v>
          </cell>
          <cell r="B440">
            <v>1.2379710808363271</v>
          </cell>
        </row>
        <row r="441">
          <cell r="A441">
            <v>31625</v>
          </cell>
          <cell r="B441">
            <v>1.2489177704578702</v>
          </cell>
        </row>
        <row r="442">
          <cell r="A442">
            <v>31656</v>
          </cell>
          <cell r="B442">
            <v>1.2558838456715795</v>
          </cell>
        </row>
        <row r="443">
          <cell r="A443">
            <v>31686</v>
          </cell>
          <cell r="B443">
            <v>1.2827529929244581</v>
          </cell>
        </row>
        <row r="444">
          <cell r="A444">
            <v>31717</v>
          </cell>
          <cell r="B444">
            <v>1.3006657577597103</v>
          </cell>
        </row>
        <row r="445">
          <cell r="A445">
            <v>31747</v>
          </cell>
          <cell r="B445">
            <v>1.3145979081871286</v>
          </cell>
        </row>
        <row r="446">
          <cell r="A446">
            <v>31778</v>
          </cell>
          <cell r="B446">
            <v>1.3394767482360903</v>
          </cell>
        </row>
        <row r="447">
          <cell r="A447">
            <v>31809</v>
          </cell>
          <cell r="B447">
            <v>1.373311970702678</v>
          </cell>
        </row>
        <row r="448">
          <cell r="A448">
            <v>31837</v>
          </cell>
          <cell r="B448">
            <v>1.4051568859653487</v>
          </cell>
        </row>
        <row r="449">
          <cell r="A449">
            <v>31868</v>
          </cell>
          <cell r="B449">
            <v>1.4449630300436873</v>
          </cell>
        </row>
        <row r="450">
          <cell r="A450">
            <v>31898</v>
          </cell>
          <cell r="B450">
            <v>1.5066625533651121</v>
          </cell>
        </row>
        <row r="451">
          <cell r="A451">
            <v>31929</v>
          </cell>
          <cell r="B451">
            <v>1.5713475374924122</v>
          </cell>
        </row>
        <row r="452">
          <cell r="A452">
            <v>31959</v>
          </cell>
          <cell r="B452">
            <v>1.654940440056923</v>
          </cell>
        </row>
        <row r="453">
          <cell r="A453">
            <v>31990</v>
          </cell>
          <cell r="B453">
            <v>1.6668822832804244</v>
          </cell>
        </row>
        <row r="454">
          <cell r="A454">
            <v>32021</v>
          </cell>
          <cell r="B454">
            <v>1.6907659697274275</v>
          </cell>
        </row>
        <row r="455">
          <cell r="A455">
            <v>32051</v>
          </cell>
          <cell r="B455">
            <v>1.7325624210096828</v>
          </cell>
        </row>
        <row r="456">
          <cell r="A456">
            <v>32082</v>
          </cell>
          <cell r="B456">
            <v>1.782320101107606</v>
          </cell>
        </row>
        <row r="457">
          <cell r="A457">
            <v>32112</v>
          </cell>
          <cell r="B457">
            <v>1.8440196244290308</v>
          </cell>
        </row>
        <row r="458">
          <cell r="A458">
            <v>32143</v>
          </cell>
          <cell r="B458">
            <v>1.8519808532446984</v>
          </cell>
        </row>
        <row r="459">
          <cell r="A459">
            <v>32174</v>
          </cell>
          <cell r="B459">
            <v>1.8161553235741938</v>
          </cell>
        </row>
        <row r="460">
          <cell r="A460">
            <v>32203</v>
          </cell>
          <cell r="B460">
            <v>1.8141650163702769</v>
          </cell>
        </row>
        <row r="461">
          <cell r="A461">
            <v>32234</v>
          </cell>
          <cell r="B461">
            <v>1.8509856996427398</v>
          </cell>
        </row>
        <row r="462">
          <cell r="A462">
            <v>32264</v>
          </cell>
          <cell r="B462">
            <v>1.8768596932936599</v>
          </cell>
        </row>
        <row r="463">
          <cell r="A463">
            <v>32295</v>
          </cell>
          <cell r="B463">
            <v>1.9704041318777554</v>
          </cell>
        </row>
        <row r="464">
          <cell r="A464">
            <v>32325</v>
          </cell>
          <cell r="B464">
            <v>2.0709146456755603</v>
          </cell>
        </row>
        <row r="465">
          <cell r="A465">
            <v>32356</v>
          </cell>
          <cell r="B465">
            <v>2.1196771721715248</v>
          </cell>
        </row>
        <row r="466">
          <cell r="A466">
            <v>32387</v>
          </cell>
          <cell r="B466">
            <v>2.1555027018420292</v>
          </cell>
        </row>
        <row r="467">
          <cell r="A467">
            <v>32417</v>
          </cell>
          <cell r="B467">
            <v>2.2500422940280833</v>
          </cell>
        </row>
        <row r="468">
          <cell r="A468">
            <v>32448</v>
          </cell>
          <cell r="B468">
            <v>2.3396061182043448</v>
          </cell>
        </row>
        <row r="469">
          <cell r="A469">
            <v>32478</v>
          </cell>
          <cell r="B469">
            <v>2.4988306945176988</v>
          </cell>
        </row>
        <row r="470">
          <cell r="A470">
            <v>32509</v>
          </cell>
          <cell r="B470">
            <v>2.5266949953725359</v>
          </cell>
        </row>
        <row r="471">
          <cell r="A471">
            <v>32540</v>
          </cell>
          <cell r="B471">
            <v>2.6063072835292127</v>
          </cell>
        </row>
        <row r="472">
          <cell r="A472">
            <v>32568</v>
          </cell>
          <cell r="B472">
            <v>3.1606078398200768</v>
          </cell>
        </row>
        <row r="473">
          <cell r="A473">
            <v>32599</v>
          </cell>
          <cell r="B473">
            <v>3.5875287350602569</v>
          </cell>
        </row>
        <row r="474">
          <cell r="A474">
            <v>32629</v>
          </cell>
          <cell r="B474">
            <v>3.8154189099087445</v>
          </cell>
        </row>
        <row r="475">
          <cell r="A475">
            <v>32660</v>
          </cell>
          <cell r="B475">
            <v>3.9378228029496354</v>
          </cell>
        </row>
        <row r="476">
          <cell r="A476">
            <v>32690</v>
          </cell>
          <cell r="B476">
            <v>4.0353478559415645</v>
          </cell>
        </row>
        <row r="477">
          <cell r="A477">
            <v>32721</v>
          </cell>
          <cell r="B477">
            <v>4.1229213729139094</v>
          </cell>
        </row>
        <row r="478">
          <cell r="A478">
            <v>32752</v>
          </cell>
          <cell r="B478">
            <v>4.25826226278026</v>
          </cell>
        </row>
        <row r="479">
          <cell r="A479">
            <v>32782</v>
          </cell>
          <cell r="B479">
            <v>4.3866370774329022</v>
          </cell>
        </row>
        <row r="480">
          <cell r="A480">
            <v>32813</v>
          </cell>
          <cell r="B480">
            <v>4.4453511399484515</v>
          </cell>
        </row>
        <row r="481">
          <cell r="A481">
            <v>32843</v>
          </cell>
          <cell r="B481">
            <v>4.5229731209012112</v>
          </cell>
        </row>
        <row r="482">
          <cell r="A482">
            <v>32874</v>
          </cell>
          <cell r="B482">
            <v>4.6294545563107663</v>
          </cell>
        </row>
        <row r="483">
          <cell r="A483">
            <v>32905</v>
          </cell>
          <cell r="B483">
            <v>4.7190183804870287</v>
          </cell>
        </row>
        <row r="484">
          <cell r="A484">
            <v>32933</v>
          </cell>
          <cell r="B484">
            <v>4.8026112830515393</v>
          </cell>
        </row>
        <row r="485">
          <cell r="A485">
            <v>32964</v>
          </cell>
          <cell r="B485">
            <v>4.9280006368983056</v>
          </cell>
        </row>
        <row r="486">
          <cell r="A486">
            <v>32994</v>
          </cell>
          <cell r="B486">
            <v>5.050404529939196</v>
          </cell>
        </row>
        <row r="487">
          <cell r="A487">
            <v>33025</v>
          </cell>
          <cell r="B487">
            <v>5.1917163414172984</v>
          </cell>
        </row>
        <row r="488">
          <cell r="A488">
            <v>33055</v>
          </cell>
          <cell r="B488">
            <v>5.393732522614866</v>
          </cell>
        </row>
        <row r="489">
          <cell r="A489">
            <v>33086</v>
          </cell>
          <cell r="B489">
            <v>5.5639037885497631</v>
          </cell>
        </row>
        <row r="490">
          <cell r="A490">
            <v>33117</v>
          </cell>
          <cell r="B490">
            <v>5.6494869983181912</v>
          </cell>
        </row>
        <row r="491">
          <cell r="A491">
            <v>33147</v>
          </cell>
          <cell r="B491">
            <v>5.7987600386119604</v>
          </cell>
        </row>
        <row r="492">
          <cell r="A492">
            <v>33178</v>
          </cell>
          <cell r="B492">
            <v>5.9659458437409816</v>
          </cell>
        </row>
        <row r="493">
          <cell r="A493">
            <v>33208</v>
          </cell>
          <cell r="B493">
            <v>6.1729377929483418</v>
          </cell>
        </row>
        <row r="494">
          <cell r="A494">
            <v>33239</v>
          </cell>
          <cell r="B494">
            <v>6.3162399116303609</v>
          </cell>
        </row>
        <row r="495">
          <cell r="A495">
            <v>33270</v>
          </cell>
          <cell r="B495">
            <v>6.425706807845792</v>
          </cell>
        </row>
        <row r="496">
          <cell r="A496">
            <v>33298</v>
          </cell>
          <cell r="B496">
            <v>6.5361688576631805</v>
          </cell>
        </row>
        <row r="497">
          <cell r="A497">
            <v>33329</v>
          </cell>
          <cell r="B497">
            <v>6.7182819668215794</v>
          </cell>
        </row>
        <row r="498">
          <cell r="A498">
            <v>33359</v>
          </cell>
          <cell r="B498">
            <v>6.8775065431349338</v>
          </cell>
        </row>
        <row r="499">
          <cell r="A499">
            <v>33390</v>
          </cell>
          <cell r="B499">
            <v>7.0058813577875751</v>
          </cell>
        </row>
        <row r="500">
          <cell r="A500">
            <v>33420</v>
          </cell>
          <cell r="B500">
            <v>7.2258103038203956</v>
          </cell>
        </row>
        <row r="501">
          <cell r="A501">
            <v>33451</v>
          </cell>
          <cell r="B501">
            <v>7.3939912625513751</v>
          </cell>
        </row>
        <row r="502">
          <cell r="A502">
            <v>33482</v>
          </cell>
          <cell r="B502">
            <v>7.5323176132236016</v>
          </cell>
        </row>
        <row r="503">
          <cell r="A503">
            <v>33512</v>
          </cell>
          <cell r="B503">
            <v>7.6975131111487061</v>
          </cell>
        </row>
        <row r="504">
          <cell r="A504">
            <v>33543</v>
          </cell>
          <cell r="B504">
            <v>7.8945535243364811</v>
          </cell>
        </row>
        <row r="505">
          <cell r="A505">
            <v>33573</v>
          </cell>
          <cell r="B505">
            <v>8.0876133231164236</v>
          </cell>
        </row>
        <row r="506">
          <cell r="A506">
            <v>33604</v>
          </cell>
          <cell r="B506">
            <v>8.1911092977201037</v>
          </cell>
        </row>
        <row r="507">
          <cell r="A507">
            <v>33635</v>
          </cell>
          <cell r="B507">
            <v>8.4060624757431324</v>
          </cell>
        </row>
        <row r="508">
          <cell r="A508">
            <v>33664</v>
          </cell>
          <cell r="B508">
            <v>8.5921561993093629</v>
          </cell>
        </row>
        <row r="509">
          <cell r="A509">
            <v>33695</v>
          </cell>
          <cell r="B509">
            <v>8.7812353836814712</v>
          </cell>
        </row>
        <row r="510">
          <cell r="A510">
            <v>33725</v>
          </cell>
          <cell r="B510">
            <v>9.0041497905201666</v>
          </cell>
        </row>
        <row r="511">
          <cell r="A511">
            <v>33756</v>
          </cell>
          <cell r="B511">
            <v>9.2449769621941158</v>
          </cell>
        </row>
        <row r="512">
          <cell r="A512">
            <v>33786</v>
          </cell>
          <cell r="B512">
            <v>9.5126732811209411</v>
          </cell>
        </row>
        <row r="513">
          <cell r="A513">
            <v>33817</v>
          </cell>
          <cell r="B513">
            <v>9.7296167663478865</v>
          </cell>
        </row>
        <row r="514">
          <cell r="A514">
            <v>33848</v>
          </cell>
          <cell r="B514">
            <v>9.9296426403415374</v>
          </cell>
        </row>
        <row r="515">
          <cell r="A515">
            <v>33878</v>
          </cell>
          <cell r="B515">
            <v>10.166489197607651</v>
          </cell>
        </row>
        <row r="516">
          <cell r="A516">
            <v>33909</v>
          </cell>
          <cell r="B516">
            <v>10.422243673310975</v>
          </cell>
        </row>
        <row r="517">
          <cell r="A517">
            <v>33939</v>
          </cell>
          <cell r="B517">
            <v>10.664065998586882</v>
          </cell>
        </row>
        <row r="518">
          <cell r="A518">
            <v>33970</v>
          </cell>
          <cell r="B518">
            <v>10.980524844009674</v>
          </cell>
        </row>
        <row r="519">
          <cell r="A519">
            <v>34001</v>
          </cell>
          <cell r="B519">
            <v>11.269119388577629</v>
          </cell>
        </row>
        <row r="520">
          <cell r="A520">
            <v>34029</v>
          </cell>
          <cell r="B520">
            <v>11.526864171484869</v>
          </cell>
        </row>
        <row r="521">
          <cell r="A521">
            <v>34060</v>
          </cell>
          <cell r="B521">
            <v>11.854269706529204</v>
          </cell>
        </row>
        <row r="522">
          <cell r="A522">
            <v>34090</v>
          </cell>
          <cell r="B522">
            <v>12.182670395175496</v>
          </cell>
        </row>
        <row r="523">
          <cell r="A523">
            <v>34121</v>
          </cell>
          <cell r="B523">
            <v>12.566799685531462</v>
          </cell>
        </row>
        <row r="524">
          <cell r="A524">
            <v>34151</v>
          </cell>
          <cell r="B524">
            <v>12.957895051101136</v>
          </cell>
        </row>
        <row r="525">
          <cell r="A525">
            <v>34182</v>
          </cell>
          <cell r="B525">
            <v>13.363917720700192</v>
          </cell>
        </row>
        <row r="526">
          <cell r="A526">
            <v>34213</v>
          </cell>
          <cell r="B526">
            <v>13.806761073571707</v>
          </cell>
        </row>
        <row r="527">
          <cell r="A527">
            <v>34243</v>
          </cell>
          <cell r="B527">
            <v>14.493417058923047</v>
          </cell>
        </row>
        <row r="528">
          <cell r="A528">
            <v>34274</v>
          </cell>
          <cell r="B528">
            <v>15.021843621562988</v>
          </cell>
        </row>
        <row r="529">
          <cell r="A529">
            <v>34304</v>
          </cell>
          <cell r="B529">
            <v>15.563207181028394</v>
          </cell>
        </row>
        <row r="530">
          <cell r="A530">
            <v>34335</v>
          </cell>
          <cell r="B530">
            <v>16.231950401544477</v>
          </cell>
        </row>
        <row r="531">
          <cell r="A531">
            <v>34366</v>
          </cell>
          <cell r="B531">
            <v>16.537462557345727</v>
          </cell>
        </row>
        <row r="532">
          <cell r="A532">
            <v>34394</v>
          </cell>
          <cell r="B532">
            <v>17.003194443062288</v>
          </cell>
        </row>
        <row r="533">
          <cell r="A533">
            <v>34425</v>
          </cell>
          <cell r="B533">
            <v>17.559485306557068</v>
          </cell>
        </row>
        <row r="534">
          <cell r="A534">
            <v>34455</v>
          </cell>
          <cell r="B534">
            <v>18.469055698747102</v>
          </cell>
        </row>
        <row r="535">
          <cell r="A535">
            <v>34486</v>
          </cell>
          <cell r="B535">
            <v>20.138923442833402</v>
          </cell>
        </row>
        <row r="536">
          <cell r="A536">
            <v>34516</v>
          </cell>
          <cell r="B536">
            <v>21.413715206942193</v>
          </cell>
        </row>
        <row r="537">
          <cell r="A537">
            <v>34547</v>
          </cell>
          <cell r="B537">
            <v>22.534258162747424</v>
          </cell>
        </row>
        <row r="538">
          <cell r="A538">
            <v>34578</v>
          </cell>
          <cell r="B538">
            <v>23.43288186531591</v>
          </cell>
        </row>
        <row r="539">
          <cell r="A539">
            <v>34608</v>
          </cell>
          <cell r="B539">
            <v>24.627066187666067</v>
          </cell>
        </row>
        <row r="540">
          <cell r="A540">
            <v>34639</v>
          </cell>
          <cell r="B540">
            <v>25.67993869853812</v>
          </cell>
        </row>
        <row r="541">
          <cell r="A541">
            <v>34669</v>
          </cell>
          <cell r="B541">
            <v>26.587518783524235</v>
          </cell>
        </row>
        <row r="542">
          <cell r="A542">
            <v>34700</v>
          </cell>
          <cell r="B542">
            <v>27.422452655567387</v>
          </cell>
        </row>
        <row r="543">
          <cell r="A543">
            <v>34731</v>
          </cell>
          <cell r="B543">
            <v>28.070297650442345</v>
          </cell>
        </row>
        <row r="544">
          <cell r="A544">
            <v>34759</v>
          </cell>
          <cell r="B544">
            <v>28.975887428224546</v>
          </cell>
        </row>
        <row r="545">
          <cell r="A545">
            <v>34790</v>
          </cell>
          <cell r="B545">
            <v>30.150168678535533</v>
          </cell>
        </row>
        <row r="546">
          <cell r="A546">
            <v>34820</v>
          </cell>
          <cell r="B546">
            <v>31.614039627016432</v>
          </cell>
        </row>
        <row r="547">
          <cell r="A547">
            <v>34851</v>
          </cell>
          <cell r="B547">
            <v>32.46589111029288</v>
          </cell>
        </row>
        <row r="548">
          <cell r="A548">
            <v>34881</v>
          </cell>
          <cell r="B548">
            <v>33.362524505657447</v>
          </cell>
        </row>
        <row r="549">
          <cell r="A549">
            <v>34912</v>
          </cell>
          <cell r="B549">
            <v>34.404450326907956</v>
          </cell>
        </row>
        <row r="550">
          <cell r="A550">
            <v>34943</v>
          </cell>
          <cell r="B550">
            <v>35.555843044373901</v>
          </cell>
        </row>
        <row r="551">
          <cell r="A551">
            <v>34973</v>
          </cell>
          <cell r="B551">
            <v>37.191875565993612</v>
          </cell>
        </row>
        <row r="552">
          <cell r="A552">
            <v>35004</v>
          </cell>
          <cell r="B552">
            <v>39.274732054892674</v>
          </cell>
        </row>
        <row r="553">
          <cell r="A553">
            <v>35034</v>
          </cell>
          <cell r="B553">
            <v>41.640212166747943</v>
          </cell>
        </row>
        <row r="554">
          <cell r="A554">
            <v>35065</v>
          </cell>
          <cell r="B554">
            <v>45.018758645396922</v>
          </cell>
        </row>
        <row r="555">
          <cell r="A555">
            <v>35096</v>
          </cell>
          <cell r="B555">
            <v>48.608277687661094</v>
          </cell>
        </row>
        <row r="556">
          <cell r="A556">
            <v>35125</v>
          </cell>
          <cell r="B556">
            <v>51.608665797565855</v>
          </cell>
        </row>
        <row r="557">
          <cell r="A557">
            <v>35156</v>
          </cell>
          <cell r="B557">
            <v>56.022172022251638</v>
          </cell>
        </row>
        <row r="558">
          <cell r="A558">
            <v>35186</v>
          </cell>
          <cell r="B558">
            <v>63.075820752933218</v>
          </cell>
        </row>
        <row r="559">
          <cell r="A559">
            <v>35217</v>
          </cell>
          <cell r="B559">
            <v>67.570929572979594</v>
          </cell>
        </row>
        <row r="560">
          <cell r="A560">
            <v>35247</v>
          </cell>
          <cell r="B560">
            <v>70.939524515608994</v>
          </cell>
        </row>
        <row r="561">
          <cell r="A561">
            <v>35278</v>
          </cell>
          <cell r="B561">
            <v>73.859305183755112</v>
          </cell>
        </row>
        <row r="562">
          <cell r="A562">
            <v>35309</v>
          </cell>
          <cell r="B562">
            <v>76.508404072168545</v>
          </cell>
        </row>
        <row r="563">
          <cell r="A563">
            <v>35339</v>
          </cell>
          <cell r="B563">
            <v>79.755590275358998</v>
          </cell>
        </row>
        <row r="564">
          <cell r="A564">
            <v>35370</v>
          </cell>
          <cell r="B564">
            <v>82.188740832147445</v>
          </cell>
        </row>
        <row r="565">
          <cell r="A565">
            <v>35400</v>
          </cell>
          <cell r="B565">
            <v>84.630847771353501</v>
          </cell>
        </row>
        <row r="566">
          <cell r="A566">
            <v>35431</v>
          </cell>
          <cell r="B566">
            <v>86.850040303720874</v>
          </cell>
        </row>
        <row r="567">
          <cell r="A567">
            <v>35462</v>
          </cell>
          <cell r="B567">
            <v>88.841342661239764</v>
          </cell>
        </row>
        <row r="568">
          <cell r="A568">
            <v>35490</v>
          </cell>
          <cell r="B568">
            <v>90.218635246350274</v>
          </cell>
        </row>
        <row r="569">
          <cell r="A569">
            <v>35521</v>
          </cell>
          <cell r="B569">
            <v>92.358215490560966</v>
          </cell>
        </row>
        <row r="570">
          <cell r="A570">
            <v>35551</v>
          </cell>
          <cell r="B570">
            <v>95.244160936240505</v>
          </cell>
        </row>
        <row r="571">
          <cell r="A571">
            <v>35582</v>
          </cell>
          <cell r="B571">
            <v>96.99364096848349</v>
          </cell>
        </row>
        <row r="572">
          <cell r="A572">
            <v>35612</v>
          </cell>
          <cell r="B572">
            <v>99.68254600097525</v>
          </cell>
        </row>
        <row r="573">
          <cell r="A573">
            <v>35643</v>
          </cell>
          <cell r="B573">
            <v>102.94963527620489</v>
          </cell>
        </row>
        <row r="574">
          <cell r="A574">
            <v>35674</v>
          </cell>
          <cell r="B574">
            <v>106.42371650064189</v>
          </cell>
        </row>
        <row r="575">
          <cell r="A575">
            <v>35704</v>
          </cell>
          <cell r="B575">
            <v>110.43518067013643</v>
          </cell>
        </row>
        <row r="576">
          <cell r="A576">
            <v>35735</v>
          </cell>
          <cell r="B576">
            <v>113.54503567625663</v>
          </cell>
        </row>
        <row r="577">
          <cell r="A577">
            <v>35765</v>
          </cell>
          <cell r="B577">
            <v>116.45984057639298</v>
          </cell>
        </row>
        <row r="578">
          <cell r="A578">
            <v>35796</v>
          </cell>
          <cell r="B578">
            <v>154.65184551235484</v>
          </cell>
        </row>
        <row r="579">
          <cell r="A579">
            <v>35827</v>
          </cell>
          <cell r="B579">
            <v>157.21038542299004</v>
          </cell>
        </row>
        <row r="580">
          <cell r="A580">
            <v>35855</v>
          </cell>
          <cell r="B580">
            <v>159.16984286524627</v>
          </cell>
        </row>
        <row r="581">
          <cell r="A581">
            <v>35886</v>
          </cell>
          <cell r="B581">
            <v>160.99893518564591</v>
          </cell>
        </row>
        <row r="582">
          <cell r="A582">
            <v>35916</v>
          </cell>
          <cell r="B582">
            <v>164.20133947674822</v>
          </cell>
        </row>
        <row r="583">
          <cell r="A583">
            <v>35947</v>
          </cell>
          <cell r="B583">
            <v>166.63847064794453</v>
          </cell>
        </row>
        <row r="584">
          <cell r="A584">
            <v>35977</v>
          </cell>
          <cell r="B584">
            <v>169.32140475882451</v>
          </cell>
        </row>
        <row r="585">
          <cell r="A585">
            <v>36008</v>
          </cell>
          <cell r="B585">
            <v>171.86103675102251</v>
          </cell>
        </row>
        <row r="586">
          <cell r="A586">
            <v>36039</v>
          </cell>
          <cell r="B586">
            <v>173.25524694736635</v>
          </cell>
        </row>
        <row r="587">
          <cell r="A587">
            <v>36069</v>
          </cell>
          <cell r="B587">
            <v>176.00784181038344</v>
          </cell>
        </row>
        <row r="588">
          <cell r="A588">
            <v>36100</v>
          </cell>
          <cell r="B588">
            <v>178.60121209708717</v>
          </cell>
        </row>
        <row r="589">
          <cell r="A589">
            <v>36130</v>
          </cell>
          <cell r="B589">
            <v>181.58866321016649</v>
          </cell>
        </row>
        <row r="590">
          <cell r="A590">
            <v>36161</v>
          </cell>
          <cell r="B590">
            <v>118.80044184819927</v>
          </cell>
        </row>
        <row r="591">
          <cell r="A591">
            <v>36192</v>
          </cell>
          <cell r="B591">
            <v>121.43958920059312</v>
          </cell>
        </row>
        <row r="592">
          <cell r="A592">
            <v>36220</v>
          </cell>
          <cell r="B592">
            <v>124.73155731587171</v>
          </cell>
        </row>
        <row r="593">
          <cell r="A593">
            <v>36251</v>
          </cell>
          <cell r="B593">
            <v>128.92413944092272</v>
          </cell>
        </row>
        <row r="594">
          <cell r="A594">
            <v>36281</v>
          </cell>
          <cell r="B594">
            <v>133.09184272592475</v>
          </cell>
        </row>
        <row r="595">
          <cell r="A595">
            <v>36312</v>
          </cell>
          <cell r="B595">
            <v>134.82838576134228</v>
          </cell>
        </row>
        <row r="596">
          <cell r="A596">
            <v>36342</v>
          </cell>
          <cell r="B596">
            <v>137.61481584682596</v>
          </cell>
        </row>
        <row r="597">
          <cell r="A597">
            <v>36373</v>
          </cell>
          <cell r="B597">
            <v>140.46792122364087</v>
          </cell>
        </row>
        <row r="598">
          <cell r="A598">
            <v>36404</v>
          </cell>
          <cell r="B598">
            <v>142.96774707176053</v>
          </cell>
        </row>
        <row r="599">
          <cell r="A599">
            <v>36434</v>
          </cell>
          <cell r="B599">
            <v>146.47964413307193</v>
          </cell>
        </row>
        <row r="600">
          <cell r="A600">
            <v>36465</v>
          </cell>
          <cell r="B600">
            <v>148.75157980634313</v>
          </cell>
        </row>
        <row r="601">
          <cell r="A601">
            <v>36495</v>
          </cell>
          <cell r="B601">
            <v>151.28822633773524</v>
          </cell>
        </row>
        <row r="602">
          <cell r="A602">
            <v>36526</v>
          </cell>
          <cell r="B602">
            <v>184.65</v>
          </cell>
        </row>
        <row r="603">
          <cell r="A603">
            <v>36557</v>
          </cell>
          <cell r="B603">
            <v>184.7</v>
          </cell>
        </row>
        <row r="604">
          <cell r="A604">
            <v>36586</v>
          </cell>
          <cell r="B604">
            <v>187.08</v>
          </cell>
        </row>
        <row r="605">
          <cell r="A605">
            <v>36617</v>
          </cell>
          <cell r="B605">
            <v>189.97183999999999</v>
          </cell>
        </row>
        <row r="606">
          <cell r="A606">
            <v>36647</v>
          </cell>
          <cell r="B606">
            <v>191.9</v>
          </cell>
        </row>
        <row r="607">
          <cell r="A607">
            <v>36678</v>
          </cell>
          <cell r="B607">
            <v>194</v>
          </cell>
        </row>
        <row r="608">
          <cell r="A608">
            <v>36708</v>
          </cell>
          <cell r="B608">
            <v>196</v>
          </cell>
        </row>
        <row r="609">
          <cell r="A609">
            <v>36739</v>
          </cell>
          <cell r="B609">
            <v>197.5</v>
          </cell>
        </row>
        <row r="610">
          <cell r="A610">
            <v>36770</v>
          </cell>
          <cell r="B610">
            <v>200.9</v>
          </cell>
        </row>
        <row r="611">
          <cell r="A611">
            <v>36800</v>
          </cell>
          <cell r="B611">
            <v>202.6</v>
          </cell>
        </row>
        <row r="612">
          <cell r="A612">
            <v>36831</v>
          </cell>
          <cell r="B612">
            <v>203.9</v>
          </cell>
        </row>
        <row r="613">
          <cell r="A613">
            <v>36861</v>
          </cell>
          <cell r="B613">
            <v>205.97792999999999</v>
          </cell>
        </row>
        <row r="614">
          <cell r="A614">
            <v>36892</v>
          </cell>
          <cell r="B614">
            <v>207.9</v>
          </cell>
        </row>
        <row r="615">
          <cell r="A615">
            <v>36923</v>
          </cell>
          <cell r="B615">
            <v>208.9</v>
          </cell>
        </row>
        <row r="616">
          <cell r="A616">
            <v>36951</v>
          </cell>
          <cell r="B616">
            <v>210.5</v>
          </cell>
        </row>
        <row r="617">
          <cell r="A617">
            <v>36982</v>
          </cell>
          <cell r="B617">
            <v>212.9</v>
          </cell>
        </row>
        <row r="618">
          <cell r="A618">
            <v>37012</v>
          </cell>
          <cell r="B618">
            <v>216.1</v>
          </cell>
        </row>
        <row r="619">
          <cell r="A619">
            <v>37043</v>
          </cell>
          <cell r="B619">
            <v>218.2</v>
          </cell>
        </row>
        <row r="620">
          <cell r="A620">
            <v>37073</v>
          </cell>
          <cell r="B620">
            <v>221.5</v>
          </cell>
        </row>
        <row r="621">
          <cell r="A621">
            <v>37104</v>
          </cell>
          <cell r="B621">
            <v>222.9</v>
          </cell>
        </row>
        <row r="622">
          <cell r="A622">
            <v>37135</v>
          </cell>
          <cell r="B622">
            <v>225.6</v>
          </cell>
        </row>
        <row r="623">
          <cell r="A623">
            <v>37165</v>
          </cell>
          <cell r="B623">
            <v>227.6</v>
          </cell>
        </row>
        <row r="624">
          <cell r="A624">
            <v>37196</v>
          </cell>
          <cell r="B624">
            <v>229.8</v>
          </cell>
        </row>
        <row r="625">
          <cell r="A625">
            <v>37226</v>
          </cell>
          <cell r="B625">
            <v>231.3</v>
          </cell>
        </row>
        <row r="626">
          <cell r="A626">
            <v>37257</v>
          </cell>
          <cell r="B626">
            <v>233.4</v>
          </cell>
        </row>
        <row r="627">
          <cell r="A627">
            <v>37288</v>
          </cell>
          <cell r="B627">
            <v>237.57405</v>
          </cell>
        </row>
        <row r="628">
          <cell r="A628">
            <v>37316</v>
          </cell>
          <cell r="B628">
            <v>247.57</v>
          </cell>
        </row>
        <row r="629">
          <cell r="A629">
            <v>37347</v>
          </cell>
          <cell r="B629">
            <v>252.77258</v>
          </cell>
        </row>
        <row r="630">
          <cell r="A630">
            <v>37377</v>
          </cell>
          <cell r="B630">
            <v>255.7</v>
          </cell>
        </row>
        <row r="631">
          <cell r="A631">
            <v>37408</v>
          </cell>
          <cell r="B631">
            <v>260.87220000000002</v>
          </cell>
        </row>
        <row r="632">
          <cell r="A632">
            <v>37438</v>
          </cell>
          <cell r="B632">
            <v>270.27148</v>
          </cell>
        </row>
        <row r="633">
          <cell r="A633">
            <v>37469</v>
          </cell>
          <cell r="B633">
            <v>276.77150999999998</v>
          </cell>
        </row>
        <row r="634">
          <cell r="A634">
            <v>37500</v>
          </cell>
          <cell r="B634">
            <v>289.17086999999998</v>
          </cell>
        </row>
        <row r="635">
          <cell r="A635">
            <v>37530</v>
          </cell>
          <cell r="B635">
            <v>295.67142999999999</v>
          </cell>
        </row>
        <row r="636">
          <cell r="A636">
            <v>37561</v>
          </cell>
          <cell r="B636">
            <v>300.36964999999998</v>
          </cell>
        </row>
        <row r="637">
          <cell r="A637">
            <v>37591</v>
          </cell>
          <cell r="B637">
            <v>303.46946000000003</v>
          </cell>
        </row>
        <row r="638">
          <cell r="A638">
            <v>37622</v>
          </cell>
          <cell r="B638">
            <v>312.26704000000001</v>
          </cell>
        </row>
        <row r="639">
          <cell r="A639">
            <v>37653</v>
          </cell>
          <cell r="B639">
            <v>329.46670999999998</v>
          </cell>
        </row>
        <row r="640">
          <cell r="A640">
            <v>37681</v>
          </cell>
          <cell r="B640">
            <v>331.96735999999999</v>
          </cell>
        </row>
        <row r="641">
          <cell r="A641">
            <v>37712</v>
          </cell>
          <cell r="B641">
            <v>337.46805999999998</v>
          </cell>
        </row>
        <row r="642">
          <cell r="A642">
            <v>37742</v>
          </cell>
          <cell r="B642">
            <v>345.26695000000001</v>
          </cell>
        </row>
        <row r="643">
          <cell r="A643">
            <v>37773</v>
          </cell>
          <cell r="B643">
            <v>350.06616000000002</v>
          </cell>
        </row>
        <row r="644">
          <cell r="A644">
            <v>37803</v>
          </cell>
          <cell r="B644">
            <v>356.36385000000001</v>
          </cell>
        </row>
        <row r="645">
          <cell r="A645">
            <v>37834</v>
          </cell>
          <cell r="B645">
            <v>360.86473000000001</v>
          </cell>
        </row>
        <row r="646">
          <cell r="A646">
            <v>37865</v>
          </cell>
          <cell r="B646">
            <v>366.02148999999997</v>
          </cell>
        </row>
        <row r="647">
          <cell r="A647">
            <v>37895</v>
          </cell>
          <cell r="B647">
            <v>371.66557999999998</v>
          </cell>
        </row>
        <row r="648">
          <cell r="A648">
            <v>37926</v>
          </cell>
          <cell r="B648">
            <v>378.66404</v>
          </cell>
        </row>
        <row r="649">
          <cell r="A649">
            <v>37956</v>
          </cell>
          <cell r="B649">
            <v>385.66174999999998</v>
          </cell>
        </row>
        <row r="650">
          <cell r="A650">
            <v>37987</v>
          </cell>
          <cell r="B650">
            <v>395.36113999999998</v>
          </cell>
        </row>
        <row r="651">
          <cell r="A651">
            <v>38018</v>
          </cell>
          <cell r="B651">
            <v>401.56040000000002</v>
          </cell>
        </row>
        <row r="652">
          <cell r="A652">
            <v>38047</v>
          </cell>
          <cell r="B652">
            <v>410.15780999999998</v>
          </cell>
        </row>
        <row r="653">
          <cell r="A653">
            <v>38078</v>
          </cell>
          <cell r="B653">
            <v>415.55549000000002</v>
          </cell>
        </row>
        <row r="654">
          <cell r="A654">
            <v>38108</v>
          </cell>
          <cell r="B654">
            <v>420.45488999999998</v>
          </cell>
        </row>
        <row r="655">
          <cell r="A655">
            <v>38139</v>
          </cell>
          <cell r="B655">
            <v>428.25432999999998</v>
          </cell>
        </row>
        <row r="656">
          <cell r="A656">
            <v>38169</v>
          </cell>
          <cell r="B656">
            <v>434.15566999999999</v>
          </cell>
        </row>
        <row r="657">
          <cell r="A657">
            <v>38200</v>
          </cell>
          <cell r="B657">
            <v>439.95598999999999</v>
          </cell>
        </row>
        <row r="658">
          <cell r="A658">
            <v>38231</v>
          </cell>
          <cell r="B658">
            <v>442.25695999999999</v>
          </cell>
        </row>
        <row r="659">
          <cell r="A659">
            <v>38261</v>
          </cell>
          <cell r="B659">
            <v>444.95472999999998</v>
          </cell>
        </row>
        <row r="660">
          <cell r="A660">
            <v>38292</v>
          </cell>
          <cell r="B660">
            <v>452.45222000000001</v>
          </cell>
        </row>
        <row r="661">
          <cell r="A661">
            <v>38322</v>
          </cell>
          <cell r="B661">
            <v>459.65073000000001</v>
          </cell>
        </row>
        <row r="662">
          <cell r="A662">
            <v>38353</v>
          </cell>
        </row>
        <row r="663">
          <cell r="A663">
            <v>38384</v>
          </cell>
        </row>
        <row r="664">
          <cell r="A664">
            <v>38412</v>
          </cell>
        </row>
        <row r="665">
          <cell r="A665">
            <v>38443</v>
          </cell>
        </row>
        <row r="666">
          <cell r="A666">
            <v>38473</v>
          </cell>
        </row>
        <row r="667">
          <cell r="A667">
            <v>38504</v>
          </cell>
        </row>
        <row r="668">
          <cell r="A668">
            <v>38534</v>
          </cell>
        </row>
        <row r="669">
          <cell r="A669">
            <v>38565</v>
          </cell>
        </row>
        <row r="670">
          <cell r="A670">
            <v>38596</v>
          </cell>
        </row>
        <row r="671">
          <cell r="A671">
            <v>38626</v>
          </cell>
        </row>
        <row r="672">
          <cell r="A672">
            <v>38657</v>
          </cell>
        </row>
        <row r="673">
          <cell r="A673">
            <v>38687</v>
          </cell>
        </row>
        <row r="674">
          <cell r="A674">
            <v>38718</v>
          </cell>
        </row>
        <row r="675">
          <cell r="A675">
            <v>38749</v>
          </cell>
        </row>
        <row r="676">
          <cell r="A676">
            <v>38777</v>
          </cell>
        </row>
        <row r="677">
          <cell r="A677">
            <v>38808</v>
          </cell>
        </row>
        <row r="678">
          <cell r="A678">
            <v>38838</v>
          </cell>
        </row>
        <row r="679">
          <cell r="A679">
            <v>38869</v>
          </cell>
        </row>
        <row r="680">
          <cell r="A680">
            <v>38899</v>
          </cell>
        </row>
        <row r="681">
          <cell r="A681">
            <v>38930</v>
          </cell>
        </row>
        <row r="682">
          <cell r="A682">
            <v>38961</v>
          </cell>
        </row>
        <row r="683">
          <cell r="A683">
            <v>38991</v>
          </cell>
        </row>
        <row r="684">
          <cell r="A684">
            <v>39022</v>
          </cell>
        </row>
        <row r="685">
          <cell r="A685">
            <v>39052</v>
          </cell>
        </row>
        <row r="686">
          <cell r="A686">
            <v>39083</v>
          </cell>
        </row>
        <row r="687">
          <cell r="A687">
            <v>39114</v>
          </cell>
        </row>
        <row r="688">
          <cell r="A688">
            <v>39142</v>
          </cell>
        </row>
        <row r="689">
          <cell r="A689">
            <v>39173</v>
          </cell>
        </row>
        <row r="690">
          <cell r="A690">
            <v>39203</v>
          </cell>
        </row>
        <row r="691">
          <cell r="A691">
            <v>39234</v>
          </cell>
        </row>
        <row r="692">
          <cell r="A692">
            <v>39264</v>
          </cell>
        </row>
        <row r="693">
          <cell r="A693">
            <v>39295</v>
          </cell>
        </row>
        <row r="694">
          <cell r="A694">
            <v>39326</v>
          </cell>
        </row>
        <row r="695">
          <cell r="A695">
            <v>39356</v>
          </cell>
        </row>
        <row r="696">
          <cell r="A696">
            <v>39387</v>
          </cell>
        </row>
        <row r="697">
          <cell r="A697">
            <v>39417</v>
          </cell>
        </row>
        <row r="698">
          <cell r="A698">
            <v>39448</v>
          </cell>
        </row>
        <row r="699">
          <cell r="A699">
            <v>39479</v>
          </cell>
        </row>
        <row r="700">
          <cell r="A700">
            <v>39508</v>
          </cell>
        </row>
        <row r="701">
          <cell r="A701">
            <v>39539</v>
          </cell>
        </row>
        <row r="702">
          <cell r="A702">
            <v>39569</v>
          </cell>
        </row>
        <row r="703">
          <cell r="A703">
            <v>39600</v>
          </cell>
        </row>
        <row r="704">
          <cell r="A704">
            <v>39630</v>
          </cell>
        </row>
        <row r="705">
          <cell r="A705">
            <v>39661</v>
          </cell>
        </row>
        <row r="706">
          <cell r="A706">
            <v>39692</v>
          </cell>
        </row>
        <row r="707">
          <cell r="A707">
            <v>39722</v>
          </cell>
        </row>
        <row r="708">
          <cell r="A708">
            <v>39753</v>
          </cell>
        </row>
        <row r="709">
          <cell r="A709">
            <v>39783</v>
          </cell>
        </row>
        <row r="710">
          <cell r="A710">
            <v>39814</v>
          </cell>
        </row>
        <row r="711">
          <cell r="A711">
            <v>39845</v>
          </cell>
        </row>
        <row r="712">
          <cell r="A712">
            <v>39873</v>
          </cell>
        </row>
        <row r="713">
          <cell r="A713">
            <v>39904</v>
          </cell>
        </row>
        <row r="714">
          <cell r="A714">
            <v>39934</v>
          </cell>
        </row>
        <row r="715">
          <cell r="A715">
            <v>39965</v>
          </cell>
        </row>
        <row r="716">
          <cell r="A716">
            <v>39995</v>
          </cell>
        </row>
        <row r="717">
          <cell r="A717">
            <v>40026</v>
          </cell>
        </row>
        <row r="718">
          <cell r="A718">
            <v>40057</v>
          </cell>
        </row>
        <row r="719">
          <cell r="A719">
            <v>40087</v>
          </cell>
        </row>
        <row r="720">
          <cell r="A720">
            <v>40118</v>
          </cell>
        </row>
        <row r="721">
          <cell r="A721">
            <v>40148</v>
          </cell>
        </row>
        <row r="722">
          <cell r="A722">
            <v>40179</v>
          </cell>
        </row>
        <row r="723">
          <cell r="A723">
            <v>40210</v>
          </cell>
        </row>
        <row r="724">
          <cell r="A724">
            <v>40238</v>
          </cell>
        </row>
        <row r="725">
          <cell r="A725">
            <v>40269</v>
          </cell>
        </row>
        <row r="726">
          <cell r="A726">
            <v>40299</v>
          </cell>
        </row>
        <row r="727">
          <cell r="A727">
            <v>40330</v>
          </cell>
        </row>
        <row r="728">
          <cell r="A728">
            <v>40360</v>
          </cell>
        </row>
        <row r="729">
          <cell r="A729">
            <v>40391</v>
          </cell>
        </row>
        <row r="730">
          <cell r="A730">
            <v>40422</v>
          </cell>
        </row>
        <row r="731">
          <cell r="A731">
            <v>40452</v>
          </cell>
        </row>
        <row r="732">
          <cell r="A732">
            <v>40483</v>
          </cell>
        </row>
        <row r="733">
          <cell r="A733">
            <v>40513</v>
          </cell>
        </row>
        <row r="734">
          <cell r="A734">
            <v>40544</v>
          </cell>
        </row>
        <row r="735">
          <cell r="A735">
            <v>40575</v>
          </cell>
        </row>
        <row r="736">
          <cell r="A736">
            <v>40603</v>
          </cell>
        </row>
        <row r="737">
          <cell r="A737">
            <v>40634</v>
          </cell>
        </row>
        <row r="738">
          <cell r="A738">
            <v>40664</v>
          </cell>
        </row>
        <row r="739">
          <cell r="A739">
            <v>40695</v>
          </cell>
        </row>
        <row r="740">
          <cell r="A740">
            <v>40725</v>
          </cell>
        </row>
        <row r="741">
          <cell r="A741">
            <v>40756</v>
          </cell>
        </row>
        <row r="742">
          <cell r="A742">
            <v>40787</v>
          </cell>
        </row>
        <row r="743">
          <cell r="A743">
            <v>40817</v>
          </cell>
        </row>
        <row r="744">
          <cell r="A744">
            <v>40848</v>
          </cell>
        </row>
        <row r="745">
          <cell r="A745">
            <v>40878</v>
          </cell>
        </row>
        <row r="746">
          <cell r="A746">
            <v>40909</v>
          </cell>
        </row>
        <row r="747">
          <cell r="A747">
            <v>40940</v>
          </cell>
        </row>
        <row r="748">
          <cell r="A748">
            <v>40969</v>
          </cell>
        </row>
        <row r="749">
          <cell r="A749">
            <v>41000</v>
          </cell>
        </row>
        <row r="750">
          <cell r="A750">
            <v>41030</v>
          </cell>
        </row>
        <row r="751">
          <cell r="A751">
            <v>41061</v>
          </cell>
        </row>
        <row r="752">
          <cell r="A752">
            <v>41091</v>
          </cell>
        </row>
        <row r="753">
          <cell r="A753">
            <v>41122</v>
          </cell>
        </row>
        <row r="754">
          <cell r="A754">
            <v>41153</v>
          </cell>
        </row>
        <row r="755">
          <cell r="A755">
            <v>41183</v>
          </cell>
        </row>
        <row r="756">
          <cell r="A756">
            <v>41214</v>
          </cell>
        </row>
        <row r="757">
          <cell r="A757">
            <v>41244</v>
          </cell>
        </row>
        <row r="758">
          <cell r="A758">
            <v>41275</v>
          </cell>
        </row>
        <row r="759">
          <cell r="A759">
            <v>41306</v>
          </cell>
        </row>
        <row r="760">
          <cell r="A760">
            <v>41334</v>
          </cell>
        </row>
        <row r="761">
          <cell r="A761">
            <v>41365</v>
          </cell>
        </row>
        <row r="762">
          <cell r="A762">
            <v>41395</v>
          </cell>
        </row>
        <row r="763">
          <cell r="A763">
            <v>41426</v>
          </cell>
        </row>
        <row r="764">
          <cell r="A764">
            <v>41456</v>
          </cell>
        </row>
        <row r="765">
          <cell r="A765">
            <v>41487</v>
          </cell>
        </row>
        <row r="766">
          <cell r="A766">
            <v>41518</v>
          </cell>
        </row>
        <row r="767">
          <cell r="A767">
            <v>41548</v>
          </cell>
        </row>
        <row r="768">
          <cell r="A768">
            <v>41579</v>
          </cell>
        </row>
        <row r="769">
          <cell r="A769">
            <v>41609</v>
          </cell>
        </row>
        <row r="770">
          <cell r="A770">
            <v>41640</v>
          </cell>
        </row>
        <row r="771">
          <cell r="A771">
            <v>41671</v>
          </cell>
        </row>
        <row r="772">
          <cell r="A772">
            <v>41699</v>
          </cell>
        </row>
        <row r="773">
          <cell r="A773">
            <v>41730</v>
          </cell>
        </row>
        <row r="774">
          <cell r="A774">
            <v>41760</v>
          </cell>
        </row>
        <row r="775">
          <cell r="A775">
            <v>41791</v>
          </cell>
        </row>
        <row r="776">
          <cell r="A776">
            <v>41821</v>
          </cell>
        </row>
        <row r="777">
          <cell r="A777">
            <v>41852</v>
          </cell>
        </row>
        <row r="778">
          <cell r="A778">
            <v>41883</v>
          </cell>
        </row>
        <row r="779">
          <cell r="A779">
            <v>41913</v>
          </cell>
        </row>
        <row r="780">
          <cell r="A780">
            <v>41944</v>
          </cell>
        </row>
        <row r="781">
          <cell r="A781">
            <v>41974</v>
          </cell>
        </row>
        <row r="782">
          <cell r="A782">
            <v>42005</v>
          </cell>
        </row>
        <row r="783">
          <cell r="A783">
            <v>42036</v>
          </cell>
        </row>
        <row r="784">
          <cell r="A784">
            <v>42064</v>
          </cell>
        </row>
        <row r="785">
          <cell r="A785">
            <v>42095</v>
          </cell>
        </row>
        <row r="786">
          <cell r="A786">
            <v>42125</v>
          </cell>
        </row>
        <row r="787">
          <cell r="A787">
            <v>42156</v>
          </cell>
        </row>
        <row r="788">
          <cell r="A788">
            <v>42186</v>
          </cell>
        </row>
        <row r="789">
          <cell r="A789">
            <v>42217</v>
          </cell>
        </row>
        <row r="790">
          <cell r="A790">
            <v>42248</v>
          </cell>
        </row>
        <row r="791">
          <cell r="A791">
            <v>42278</v>
          </cell>
        </row>
        <row r="792">
          <cell r="A792">
            <v>42309</v>
          </cell>
        </row>
        <row r="793">
          <cell r="A793">
            <v>42339</v>
          </cell>
        </row>
        <row r="794">
          <cell r="A794">
            <v>42370</v>
          </cell>
        </row>
        <row r="795">
          <cell r="A795">
            <v>42401</v>
          </cell>
        </row>
        <row r="796">
          <cell r="A796">
            <v>42430</v>
          </cell>
        </row>
        <row r="797">
          <cell r="A797">
            <v>42461</v>
          </cell>
        </row>
        <row r="798">
          <cell r="A798">
            <v>42491</v>
          </cell>
        </row>
        <row r="799">
          <cell r="A799">
            <v>42522</v>
          </cell>
        </row>
        <row r="800">
          <cell r="A800">
            <v>42552</v>
          </cell>
        </row>
        <row r="801">
          <cell r="A801">
            <v>42583</v>
          </cell>
        </row>
        <row r="802">
          <cell r="A802">
            <v>42614</v>
          </cell>
        </row>
        <row r="803">
          <cell r="A803">
            <v>42644</v>
          </cell>
        </row>
        <row r="804">
          <cell r="A804">
            <v>42675</v>
          </cell>
        </row>
        <row r="805">
          <cell r="A805">
            <v>42705</v>
          </cell>
        </row>
        <row r="806">
          <cell r="A806">
            <v>42736</v>
          </cell>
        </row>
        <row r="807">
          <cell r="A807">
            <v>42767</v>
          </cell>
        </row>
        <row r="808">
          <cell r="A808">
            <v>42795</v>
          </cell>
        </row>
        <row r="809">
          <cell r="A809">
            <v>42826</v>
          </cell>
        </row>
        <row r="810">
          <cell r="A810">
            <v>42856</v>
          </cell>
        </row>
        <row r="811">
          <cell r="A811">
            <v>42887</v>
          </cell>
        </row>
        <row r="812">
          <cell r="A812">
            <v>42917</v>
          </cell>
        </row>
        <row r="813">
          <cell r="A813">
            <v>42948</v>
          </cell>
        </row>
        <row r="814">
          <cell r="A814">
            <v>42979</v>
          </cell>
        </row>
        <row r="815">
          <cell r="A815">
            <v>43009</v>
          </cell>
        </row>
        <row r="816">
          <cell r="A816">
            <v>43040</v>
          </cell>
        </row>
        <row r="817">
          <cell r="A817">
            <v>43070</v>
          </cell>
        </row>
        <row r="818">
          <cell r="A818">
            <v>43101</v>
          </cell>
        </row>
        <row r="819">
          <cell r="A819">
            <v>43132</v>
          </cell>
        </row>
        <row r="820">
          <cell r="A820">
            <v>43160</v>
          </cell>
        </row>
        <row r="821">
          <cell r="A821">
            <v>43191</v>
          </cell>
        </row>
        <row r="822">
          <cell r="A822">
            <v>43221</v>
          </cell>
        </row>
        <row r="823">
          <cell r="A823">
            <v>43252</v>
          </cell>
        </row>
        <row r="824">
          <cell r="A824">
            <v>43282</v>
          </cell>
        </row>
        <row r="825">
          <cell r="A825">
            <v>43313</v>
          </cell>
        </row>
        <row r="826">
          <cell r="A826">
            <v>43344</v>
          </cell>
        </row>
        <row r="827">
          <cell r="A827">
            <v>43374</v>
          </cell>
        </row>
        <row r="828">
          <cell r="A828">
            <v>43405</v>
          </cell>
        </row>
        <row r="829">
          <cell r="A829">
            <v>43435</v>
          </cell>
        </row>
        <row r="830">
          <cell r="A830">
            <v>43466</v>
          </cell>
        </row>
        <row r="831">
          <cell r="A831">
            <v>43497</v>
          </cell>
        </row>
        <row r="832">
          <cell r="A832">
            <v>43525</v>
          </cell>
        </row>
        <row r="833">
          <cell r="A833">
            <v>43556</v>
          </cell>
        </row>
        <row r="834">
          <cell r="A834">
            <v>43586</v>
          </cell>
        </row>
        <row r="835">
          <cell r="A835">
            <v>43617</v>
          </cell>
        </row>
        <row r="836">
          <cell r="A836">
            <v>43647</v>
          </cell>
        </row>
        <row r="837">
          <cell r="A837">
            <v>43678</v>
          </cell>
        </row>
        <row r="838">
          <cell r="A838">
            <v>43709</v>
          </cell>
        </row>
        <row r="839">
          <cell r="A839">
            <v>43739</v>
          </cell>
        </row>
        <row r="840">
          <cell r="A840">
            <v>43770</v>
          </cell>
        </row>
        <row r="841">
          <cell r="A841">
            <v>43800</v>
          </cell>
        </row>
        <row r="842">
          <cell r="A842">
            <v>43831</v>
          </cell>
        </row>
        <row r="843">
          <cell r="A843">
            <v>43862</v>
          </cell>
        </row>
        <row r="844">
          <cell r="A844">
            <v>43891</v>
          </cell>
        </row>
        <row r="845">
          <cell r="A845">
            <v>43922</v>
          </cell>
        </row>
        <row r="846">
          <cell r="A846">
            <v>43952</v>
          </cell>
        </row>
        <row r="847">
          <cell r="A847">
            <v>43983</v>
          </cell>
        </row>
        <row r="848">
          <cell r="A848">
            <v>44013</v>
          </cell>
        </row>
        <row r="849">
          <cell r="A849">
            <v>44044</v>
          </cell>
        </row>
        <row r="850">
          <cell r="A850">
            <v>44075</v>
          </cell>
        </row>
        <row r="851">
          <cell r="A851">
            <v>44105</v>
          </cell>
        </row>
        <row r="852">
          <cell r="A852">
            <v>44136</v>
          </cell>
        </row>
        <row r="853">
          <cell r="A853">
            <v>44166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10" zoomScaleNormal="100" workbookViewId="0">
      <selection activeCell="C19" sqref="C19"/>
    </sheetView>
  </sheetViews>
  <sheetFormatPr baseColWidth="10" defaultRowHeight="12.75" x14ac:dyDescent="0.2"/>
  <cols>
    <col min="1" max="1" width="38" style="378" bestFit="1" customWidth="1"/>
    <col min="2" max="2" width="23.28515625" style="515" customWidth="1"/>
    <col min="3" max="3" width="26.42578125" style="515" customWidth="1"/>
    <col min="4" max="4" width="14" style="378" bestFit="1" customWidth="1"/>
    <col min="5" max="16384" width="11.42578125" style="378"/>
  </cols>
  <sheetData>
    <row r="1" spans="1:4" x14ac:dyDescent="0.2">
      <c r="A1" s="514" t="s">
        <v>80</v>
      </c>
    </row>
    <row r="2" spans="1:4" x14ac:dyDescent="0.2">
      <c r="A2" s="516" t="s">
        <v>56</v>
      </c>
      <c r="B2" s="516"/>
      <c r="C2" s="516"/>
      <c r="D2" s="516"/>
    </row>
    <row r="3" spans="1:4" x14ac:dyDescent="0.2">
      <c r="A3" s="425"/>
      <c r="B3" s="425"/>
      <c r="C3" s="425"/>
      <c r="D3" s="425"/>
    </row>
    <row r="4" spans="1:4" x14ac:dyDescent="0.2">
      <c r="B4" s="517">
        <v>2014</v>
      </c>
      <c r="C4" s="517">
        <v>2015</v>
      </c>
      <c r="D4" s="378" t="s">
        <v>115</v>
      </c>
    </row>
    <row r="5" spans="1:4" x14ac:dyDescent="0.2">
      <c r="A5" s="389" t="s">
        <v>32</v>
      </c>
    </row>
    <row r="6" spans="1:4" x14ac:dyDescent="0.2">
      <c r="A6" s="389" t="s">
        <v>24</v>
      </c>
    </row>
    <row r="7" spans="1:4" x14ac:dyDescent="0.2">
      <c r="A7" s="378" t="s">
        <v>0</v>
      </c>
      <c r="B7" s="515">
        <v>500000</v>
      </c>
      <c r="C7" s="515">
        <v>200000</v>
      </c>
      <c r="D7" s="518">
        <f>C7-B7</f>
        <v>-300000</v>
      </c>
    </row>
    <row r="8" spans="1:4" x14ac:dyDescent="0.2">
      <c r="A8" s="378" t="s">
        <v>1</v>
      </c>
      <c r="B8" s="515">
        <v>700000</v>
      </c>
      <c r="C8" s="515">
        <v>1200000</v>
      </c>
      <c r="D8" s="518">
        <f>C8-B8</f>
        <v>500000</v>
      </c>
    </row>
    <row r="9" spans="1:4" x14ac:dyDescent="0.2">
      <c r="A9" s="378" t="s">
        <v>2</v>
      </c>
      <c r="B9" s="515">
        <v>1050000</v>
      </c>
      <c r="C9" s="515">
        <v>1010000</v>
      </c>
      <c r="D9" s="518">
        <f>C9-B9</f>
        <v>-40000</v>
      </c>
    </row>
    <row r="10" spans="1:4" x14ac:dyDescent="0.2">
      <c r="A10" s="378" t="s">
        <v>3</v>
      </c>
      <c r="B10" s="515">
        <v>2500000</v>
      </c>
      <c r="C10" s="515">
        <v>2800000</v>
      </c>
      <c r="D10" s="518">
        <f>C10-B10</f>
        <v>300000</v>
      </c>
    </row>
    <row r="11" spans="1:4" x14ac:dyDescent="0.2">
      <c r="A11" s="378" t="s">
        <v>4</v>
      </c>
      <c r="B11" s="519">
        <f>+ADICIONAL!G8</f>
        <v>50000</v>
      </c>
      <c r="C11" s="519">
        <f>+ADICIONAL!H9</f>
        <v>60000</v>
      </c>
      <c r="D11" s="518">
        <f>C11-B11</f>
        <v>10000</v>
      </c>
    </row>
    <row r="12" spans="1:4" x14ac:dyDescent="0.2">
      <c r="A12" s="389" t="s">
        <v>25</v>
      </c>
      <c r="B12" s="520">
        <f>SUM(B7:B11)</f>
        <v>4800000</v>
      </c>
      <c r="C12" s="520">
        <f>SUM(C7:C11)</f>
        <v>5270000</v>
      </c>
    </row>
    <row r="13" spans="1:4" x14ac:dyDescent="0.2">
      <c r="A13" s="389"/>
    </row>
    <row r="14" spans="1:4" x14ac:dyDescent="0.2">
      <c r="A14" s="389" t="s">
        <v>11</v>
      </c>
    </row>
    <row r="15" spans="1:4" x14ac:dyDescent="0.2">
      <c r="A15" s="378" t="s">
        <v>12</v>
      </c>
      <c r="B15" s="519">
        <v>250000</v>
      </c>
      <c r="C15" s="519">
        <v>303500</v>
      </c>
    </row>
    <row r="16" spans="1:4" x14ac:dyDescent="0.2">
      <c r="A16" s="389" t="s">
        <v>33</v>
      </c>
      <c r="B16" s="520">
        <f>SUM(B15)</f>
        <v>250000</v>
      </c>
      <c r="C16" s="520">
        <f>SUM(C15)</f>
        <v>303500</v>
      </c>
    </row>
    <row r="17" spans="1:4" x14ac:dyDescent="0.2">
      <c r="A17" s="389"/>
    </row>
    <row r="18" spans="1:4" x14ac:dyDescent="0.2">
      <c r="A18" s="389" t="s">
        <v>5</v>
      </c>
    </row>
    <row r="19" spans="1:4" x14ac:dyDescent="0.2">
      <c r="A19" s="378" t="s">
        <v>63</v>
      </c>
      <c r="B19" s="515">
        <v>2000000</v>
      </c>
      <c r="C19" s="515">
        <v>2000000</v>
      </c>
      <c r="D19" s="518">
        <f>C19-B19</f>
        <v>0</v>
      </c>
    </row>
    <row r="20" spans="1:4" x14ac:dyDescent="0.2">
      <c r="A20" s="378" t="s">
        <v>6</v>
      </c>
      <c r="B20" s="515">
        <f>+ADICIONAL!B18+ADICIONAL!B19+ADICIONAL!B20</f>
        <v>3000000</v>
      </c>
      <c r="C20" s="515">
        <f>+ADICIONAL!B22</f>
        <v>4000000</v>
      </c>
      <c r="D20" s="518">
        <f>C20-B20</f>
        <v>1000000</v>
      </c>
    </row>
    <row r="21" spans="1:4" x14ac:dyDescent="0.2">
      <c r="A21" s="378" t="s">
        <v>7</v>
      </c>
      <c r="B21" s="515">
        <f>+ADICIONAL!B25</f>
        <v>400000</v>
      </c>
      <c r="C21" s="515">
        <f>+ADICIONAL!B27</f>
        <v>650000</v>
      </c>
      <c r="D21" s="518">
        <f>C21-B21</f>
        <v>250000</v>
      </c>
    </row>
    <row r="22" spans="1:4" x14ac:dyDescent="0.2">
      <c r="A22" s="378" t="s">
        <v>8</v>
      </c>
      <c r="B22" s="515">
        <f>+ADICIONAL!E22</f>
        <v>-83333.333333333343</v>
      </c>
      <c r="C22" s="515">
        <f>+ADICIONAL!F22</f>
        <v>-466666.66666666674</v>
      </c>
      <c r="D22" s="518">
        <f>C22-B22</f>
        <v>-383333.33333333337</v>
      </c>
    </row>
    <row r="23" spans="1:4" x14ac:dyDescent="0.2">
      <c r="A23" s="378" t="s">
        <v>9</v>
      </c>
      <c r="B23" s="519">
        <f>+ADICIONAL!E27</f>
        <v>-46666.666666666672</v>
      </c>
      <c r="C23" s="519">
        <f>+ADICIONAL!F27</f>
        <v>-147500</v>
      </c>
      <c r="D23" s="518">
        <f>C23-B23</f>
        <v>-100833.33333333333</v>
      </c>
    </row>
    <row r="24" spans="1:4" x14ac:dyDescent="0.2">
      <c r="A24" s="389" t="s">
        <v>10</v>
      </c>
      <c r="B24" s="520">
        <f>SUM(B19:B23)</f>
        <v>5270000</v>
      </c>
      <c r="C24" s="520">
        <f>SUM(C19:C23)</f>
        <v>6035833.333333333</v>
      </c>
    </row>
    <row r="26" spans="1:4" x14ac:dyDescent="0.2">
      <c r="A26" s="389" t="s">
        <v>13</v>
      </c>
    </row>
    <row r="27" spans="1:4" x14ac:dyDescent="0.2">
      <c r="A27" s="378" t="s">
        <v>61</v>
      </c>
      <c r="B27" s="515">
        <v>10000</v>
      </c>
      <c r="C27" s="515">
        <v>0</v>
      </c>
      <c r="D27" s="518">
        <f>C27-B27</f>
        <v>-10000</v>
      </c>
    </row>
    <row r="28" spans="1:4" x14ac:dyDescent="0.2">
      <c r="A28" s="378" t="s">
        <v>62</v>
      </c>
      <c r="B28" s="515">
        <v>50000</v>
      </c>
      <c r="C28" s="515">
        <v>25000</v>
      </c>
      <c r="D28" s="518">
        <f>C28-B28</f>
        <v>-25000</v>
      </c>
    </row>
    <row r="29" spans="1:4" x14ac:dyDescent="0.2">
      <c r="A29" s="378" t="s">
        <v>14</v>
      </c>
      <c r="B29" s="519">
        <v>25000</v>
      </c>
      <c r="C29" s="519">
        <v>21500</v>
      </c>
      <c r="D29" s="518">
        <f>C29-B29</f>
        <v>-3500</v>
      </c>
    </row>
    <row r="30" spans="1:4" x14ac:dyDescent="0.2">
      <c r="A30" s="389" t="s">
        <v>30</v>
      </c>
      <c r="B30" s="520">
        <f>SUM(B27:B29)</f>
        <v>85000</v>
      </c>
      <c r="C30" s="520">
        <f>SUM(C27:C29)</f>
        <v>46500</v>
      </c>
    </row>
    <row r="31" spans="1:4" x14ac:dyDescent="0.2">
      <c r="A31" s="389"/>
    </row>
    <row r="32" spans="1:4" x14ac:dyDescent="0.2">
      <c r="A32" s="521" t="s">
        <v>31</v>
      </c>
      <c r="B32" s="522">
        <f>+B12+B16+B24+B30</f>
        <v>10405000</v>
      </c>
      <c r="C32" s="522">
        <f>+C12+C16+C24+C30</f>
        <v>11655833.333333332</v>
      </c>
    </row>
    <row r="34" spans="1:4" x14ac:dyDescent="0.2">
      <c r="A34" s="389" t="s">
        <v>15</v>
      </c>
    </row>
    <row r="36" spans="1:4" x14ac:dyDescent="0.2">
      <c r="A36" s="389" t="s">
        <v>16</v>
      </c>
    </row>
    <row r="37" spans="1:4" x14ac:dyDescent="0.2">
      <c r="A37" s="378" t="s">
        <v>17</v>
      </c>
      <c r="B37" s="519">
        <v>-3902500</v>
      </c>
      <c r="C37" s="519">
        <v>-4367500</v>
      </c>
      <c r="D37" s="518">
        <f>C37-B37</f>
        <v>-465000</v>
      </c>
    </row>
    <row r="38" spans="1:4" x14ac:dyDescent="0.2">
      <c r="A38" s="389" t="s">
        <v>26</v>
      </c>
      <c r="B38" s="520">
        <f>SUM(B37)</f>
        <v>-3902500</v>
      </c>
      <c r="C38" s="520">
        <f>SUM(C37)</f>
        <v>-4367500</v>
      </c>
    </row>
    <row r="40" spans="1:4" x14ac:dyDescent="0.2">
      <c r="A40" s="389" t="s">
        <v>18</v>
      </c>
    </row>
    <row r="41" spans="1:4" x14ac:dyDescent="0.2">
      <c r="A41" s="378" t="s">
        <v>19</v>
      </c>
      <c r="B41" s="515">
        <v>-1316062</v>
      </c>
      <c r="C41" s="515">
        <v>-231062</v>
      </c>
      <c r="D41" s="518">
        <f>C41-B41</f>
        <v>1085000</v>
      </c>
    </row>
    <row r="42" spans="1:4" x14ac:dyDescent="0.2">
      <c r="A42" s="378" t="s">
        <v>248</v>
      </c>
      <c r="B42" s="519">
        <v>-500000</v>
      </c>
      <c r="C42" s="519">
        <v>-600000</v>
      </c>
      <c r="D42" s="518">
        <f>C42-B42</f>
        <v>-100000</v>
      </c>
    </row>
    <row r="43" spans="1:4" x14ac:dyDescent="0.2">
      <c r="A43" s="389" t="s">
        <v>27</v>
      </c>
      <c r="B43" s="520">
        <f>+B41+B42</f>
        <v>-1816062</v>
      </c>
      <c r="C43" s="520">
        <f>+C41+C42</f>
        <v>-831062</v>
      </c>
    </row>
    <row r="44" spans="1:4" x14ac:dyDescent="0.2">
      <c r="A44" s="389"/>
      <c r="B44" s="520"/>
    </row>
    <row r="45" spans="1:4" x14ac:dyDescent="0.2">
      <c r="A45" s="389" t="s">
        <v>20</v>
      </c>
    </row>
    <row r="46" spans="1:4" x14ac:dyDescent="0.2">
      <c r="A46" s="378" t="s">
        <v>21</v>
      </c>
      <c r="B46" s="515">
        <v>-3000000</v>
      </c>
      <c r="C46" s="515">
        <f>+ADICIONAL!D91</f>
        <v>-4000000</v>
      </c>
      <c r="D46" s="518">
        <f>C46-B46</f>
        <v>-1000000</v>
      </c>
    </row>
    <row r="47" spans="1:4" x14ac:dyDescent="0.2">
      <c r="A47" s="378" t="s">
        <v>22</v>
      </c>
      <c r="B47" s="515">
        <v>-89250</v>
      </c>
      <c r="C47" s="515">
        <v>-89250</v>
      </c>
      <c r="D47" s="518">
        <f>C47-B47</f>
        <v>0</v>
      </c>
    </row>
    <row r="48" spans="1:4" x14ac:dyDescent="0.2">
      <c r="A48" s="378" t="s">
        <v>23</v>
      </c>
      <c r="B48" s="519">
        <v>-1597188</v>
      </c>
      <c r="C48" s="519">
        <v>-2368021.33</v>
      </c>
      <c r="D48" s="518">
        <f>C48-B48</f>
        <v>-770833.33000000007</v>
      </c>
    </row>
    <row r="49" spans="1:3" x14ac:dyDescent="0.2">
      <c r="A49" s="389" t="s">
        <v>28</v>
      </c>
      <c r="B49" s="520">
        <f>SUM(B46:B48)</f>
        <v>-4686438</v>
      </c>
      <c r="C49" s="520">
        <f>SUM(C46:C48)</f>
        <v>-6457271.3300000001</v>
      </c>
    </row>
    <row r="51" spans="1:3" x14ac:dyDescent="0.2">
      <c r="A51" s="521" t="s">
        <v>29</v>
      </c>
      <c r="B51" s="522">
        <f>+B38+B43+B49</f>
        <v>-10405000</v>
      </c>
      <c r="C51" s="522">
        <f>+C38+C43+C49</f>
        <v>-11655833.33</v>
      </c>
    </row>
    <row r="52" spans="1:3" x14ac:dyDescent="0.2">
      <c r="B52" s="515">
        <f>+B32+B51</f>
        <v>0</v>
      </c>
      <c r="C52" s="515">
        <f>+C32+C51</f>
        <v>3.3333320170640945E-3</v>
      </c>
    </row>
  </sheetData>
  <mergeCells count="1">
    <mergeCell ref="A2:D2"/>
  </mergeCells>
  <phoneticPr fontId="0" type="noConversion"/>
  <pageMargins left="0.26" right="0.2" top="0.93" bottom="0.36" header="0" footer="0"/>
  <pageSetup paperSize="9" scale="99" orientation="portrait" horizontalDpi="4294967293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4"/>
  <sheetViews>
    <sheetView zoomScaleNormal="100" workbookViewId="0">
      <selection activeCell="G15" sqref="G15"/>
    </sheetView>
  </sheetViews>
  <sheetFormatPr baseColWidth="10" defaultRowHeight="16.5" x14ac:dyDescent="0.3"/>
  <cols>
    <col min="1" max="1" width="19.42578125" style="157" customWidth="1"/>
    <col min="2" max="2" width="12.7109375" style="154" bestFit="1" customWidth="1"/>
    <col min="3" max="3" width="11.140625" style="155" bestFit="1" customWidth="1"/>
    <col min="4" max="4" width="11.5703125" style="156" bestFit="1" customWidth="1"/>
    <col min="5" max="5" width="10.5703125" style="157" bestFit="1" customWidth="1"/>
    <col min="6" max="6" width="13.140625" style="157" customWidth="1"/>
    <col min="7" max="7" width="14.5703125" style="157" customWidth="1"/>
    <col min="8" max="8" width="12.5703125" style="157" customWidth="1"/>
    <col min="9" max="9" width="13.28515625" style="157" customWidth="1"/>
    <col min="10" max="11" width="14.140625" style="157" bestFit="1" customWidth="1"/>
    <col min="12" max="12" width="13.42578125" style="157" bestFit="1" customWidth="1"/>
    <col min="13" max="13" width="13.140625" style="157" bestFit="1" customWidth="1"/>
    <col min="14" max="14" width="14.28515625" style="157" bestFit="1" customWidth="1"/>
    <col min="15" max="16" width="14" style="157" bestFit="1" customWidth="1"/>
    <col min="17" max="17" width="13.28515625" style="157" bestFit="1" customWidth="1"/>
    <col min="18" max="18" width="16.28515625" style="157" customWidth="1"/>
    <col min="19" max="16384" width="11.42578125" style="157"/>
  </cols>
  <sheetData>
    <row r="1" spans="1:23" x14ac:dyDescent="0.3">
      <c r="A1" s="20" t="s">
        <v>80</v>
      </c>
    </row>
    <row r="2" spans="1:23" x14ac:dyDescent="0.3">
      <c r="A2" s="20" t="s">
        <v>81</v>
      </c>
      <c r="B2" s="157"/>
      <c r="C2" s="158"/>
    </row>
    <row r="3" spans="1:23" x14ac:dyDescent="0.3">
      <c r="A3" s="20" t="s">
        <v>64</v>
      </c>
      <c r="B3" s="159"/>
      <c r="C3" s="159"/>
      <c r="D3" s="160"/>
      <c r="E3" s="159"/>
      <c r="F3" s="157">
        <f>'ACTIVOS FIJOS AR'!F3</f>
        <v>0</v>
      </c>
      <c r="G3" s="157" t="str">
        <f>'ACTIVOS FIJOS AR'!G3</f>
        <v>CIERRE 2014</v>
      </c>
      <c r="H3" s="157" t="str">
        <f>'ACTIVOS FIJOS AR'!H3</f>
        <v>CIERRE 2015</v>
      </c>
    </row>
    <row r="4" spans="1:23" x14ac:dyDescent="0.3">
      <c r="A4" s="193" t="s">
        <v>117</v>
      </c>
      <c r="B4" s="161"/>
      <c r="F4" s="157" t="str">
        <f>'ACTIVOS FIJOS AR'!F4</f>
        <v>IPC</v>
      </c>
      <c r="G4" s="157">
        <f>'ACTIVOS FIJOS AR'!G4</f>
        <v>826.4</v>
      </c>
      <c r="H4" s="157">
        <f>'ACTIVOS FIJOS AR'!H4</f>
        <v>2146.1</v>
      </c>
    </row>
    <row r="5" spans="1:23" x14ac:dyDescent="0.3">
      <c r="A5" s="80" t="s">
        <v>269</v>
      </c>
      <c r="F5" s="157" t="str">
        <f>'ACTIVOS FIJOS AR'!F5</f>
        <v>INPC</v>
      </c>
      <c r="G5" s="157">
        <f>'ACTIVOS FIJOS AR'!G5</f>
        <v>839.5</v>
      </c>
      <c r="H5" s="157">
        <f>'ACTIVOS FIJOS AR'!H5</f>
        <v>2357.9</v>
      </c>
    </row>
    <row r="6" spans="1:23" x14ac:dyDescent="0.3">
      <c r="A6" s="80" t="s">
        <v>267</v>
      </c>
    </row>
    <row r="7" spans="1:23" x14ac:dyDescent="0.3">
      <c r="A7" s="80"/>
    </row>
    <row r="8" spans="1:23" x14ac:dyDescent="0.3">
      <c r="E8" s="162"/>
    </row>
    <row r="9" spans="1:23" s="21" customFormat="1" ht="17.25" thickBot="1" x14ac:dyDescent="0.35">
      <c r="A9" s="163" t="s">
        <v>121</v>
      </c>
      <c r="B9" s="164" t="s">
        <v>122</v>
      </c>
      <c r="C9" s="163" t="s">
        <v>123</v>
      </c>
      <c r="D9" s="163" t="s">
        <v>124</v>
      </c>
      <c r="E9" s="163" t="s">
        <v>125</v>
      </c>
      <c r="F9" s="163" t="s">
        <v>126</v>
      </c>
      <c r="G9" s="163" t="s">
        <v>127</v>
      </c>
      <c r="H9" s="163" t="s">
        <v>128</v>
      </c>
      <c r="I9" s="163" t="s">
        <v>129</v>
      </c>
      <c r="J9" s="163" t="s">
        <v>130</v>
      </c>
      <c r="K9" s="163" t="s">
        <v>131</v>
      </c>
      <c r="L9" s="163" t="s">
        <v>159</v>
      </c>
      <c r="M9" s="163" t="s">
        <v>135</v>
      </c>
      <c r="N9" s="163" t="s">
        <v>136</v>
      </c>
      <c r="O9" s="163" t="s">
        <v>160</v>
      </c>
      <c r="P9" s="163" t="s">
        <v>161</v>
      </c>
      <c r="Q9" s="163" t="s">
        <v>162</v>
      </c>
      <c r="R9" s="163" t="s">
        <v>163</v>
      </c>
      <c r="S9" s="157"/>
      <c r="U9" s="165"/>
    </row>
    <row r="10" spans="1:23" s="149" customFormat="1" x14ac:dyDescent="0.3">
      <c r="A10" s="329" t="s">
        <v>145</v>
      </c>
      <c r="B10" s="329" t="s">
        <v>137</v>
      </c>
      <c r="C10" s="332" t="s">
        <v>138</v>
      </c>
      <c r="D10" s="332" t="s">
        <v>138</v>
      </c>
      <c r="E10" s="332" t="s">
        <v>280</v>
      </c>
      <c r="F10" s="332" t="s">
        <v>139</v>
      </c>
      <c r="G10" s="332" t="s">
        <v>139</v>
      </c>
      <c r="H10" s="335" t="s">
        <v>48</v>
      </c>
      <c r="I10" s="335" t="s">
        <v>167</v>
      </c>
      <c r="J10" s="335" t="s">
        <v>182</v>
      </c>
      <c r="K10" s="335" t="s">
        <v>182</v>
      </c>
      <c r="L10" s="335" t="s">
        <v>170</v>
      </c>
      <c r="M10" s="335" t="s">
        <v>48</v>
      </c>
      <c r="N10" s="339" t="s">
        <v>167</v>
      </c>
      <c r="O10" s="335" t="s">
        <v>182</v>
      </c>
      <c r="P10" s="335" t="s">
        <v>182</v>
      </c>
      <c r="Q10" s="335" t="s">
        <v>170</v>
      </c>
      <c r="R10" s="246" t="s">
        <v>144</v>
      </c>
      <c r="U10" s="166"/>
      <c r="V10" s="167"/>
      <c r="W10" s="168"/>
    </row>
    <row r="11" spans="1:23" s="149" customFormat="1" x14ac:dyDescent="0.3">
      <c r="A11" s="330" t="s">
        <v>183</v>
      </c>
      <c r="B11" s="330" t="s">
        <v>173</v>
      </c>
      <c r="C11" s="333" t="s">
        <v>174</v>
      </c>
      <c r="D11" s="333" t="s">
        <v>113</v>
      </c>
      <c r="E11" s="333" t="s">
        <v>113</v>
      </c>
      <c r="F11" s="333" t="s">
        <v>147</v>
      </c>
      <c r="G11" s="333" t="s">
        <v>147</v>
      </c>
      <c r="H11" s="336" t="s">
        <v>111</v>
      </c>
      <c r="I11" s="336" t="s">
        <v>157</v>
      </c>
      <c r="J11" s="336" t="s">
        <v>175</v>
      </c>
      <c r="K11" s="336" t="s">
        <v>176</v>
      </c>
      <c r="L11" s="336" t="s">
        <v>150</v>
      </c>
      <c r="M11" s="336" t="s">
        <v>111</v>
      </c>
      <c r="N11" s="340" t="s">
        <v>157</v>
      </c>
      <c r="O11" s="336" t="s">
        <v>175</v>
      </c>
      <c r="P11" s="338" t="str">
        <f>+K11</f>
        <v>ACTUALIZADA</v>
      </c>
      <c r="Q11" s="336" t="s">
        <v>150</v>
      </c>
      <c r="R11" s="248" t="s">
        <v>178</v>
      </c>
      <c r="U11" s="166"/>
      <c r="V11" s="167"/>
    </row>
    <row r="12" spans="1:23" s="149" customFormat="1" ht="17.25" thickBot="1" x14ac:dyDescent="0.35">
      <c r="A12" s="331" t="s">
        <v>184</v>
      </c>
      <c r="B12" s="331" t="s">
        <v>180</v>
      </c>
      <c r="C12" s="334" t="s">
        <v>181</v>
      </c>
      <c r="D12" s="334" t="s">
        <v>154</v>
      </c>
      <c r="E12" s="334" t="s">
        <v>155</v>
      </c>
      <c r="F12" s="334" t="s">
        <v>261</v>
      </c>
      <c r="G12" s="334" t="s">
        <v>268</v>
      </c>
      <c r="H12" s="337" t="str">
        <f>+F12</f>
        <v>AL 31-12-2014</v>
      </c>
      <c r="I12" s="337" t="str">
        <f>+F12</f>
        <v>AL 31-12-2014</v>
      </c>
      <c r="J12" s="337" t="str">
        <f>+I12</f>
        <v>AL 31-12-2014</v>
      </c>
      <c r="K12" s="337" t="str">
        <f>+J12</f>
        <v>AL 31-12-2014</v>
      </c>
      <c r="L12" s="337" t="str">
        <f>+K12</f>
        <v>AL 31-12-2014</v>
      </c>
      <c r="M12" s="337" t="str">
        <f>+G12</f>
        <v>AL 31-12-2015</v>
      </c>
      <c r="N12" s="341" t="str">
        <f>+G12</f>
        <v>AL 31-12-2015</v>
      </c>
      <c r="O12" s="337" t="str">
        <f>+N12</f>
        <v>AL 31-12-2015</v>
      </c>
      <c r="P12" s="337" t="str">
        <f>+N12</f>
        <v>AL 31-12-2015</v>
      </c>
      <c r="Q12" s="337" t="str">
        <f>+P12</f>
        <v>AL 31-12-2015</v>
      </c>
      <c r="R12" s="337" t="str">
        <f>+Q12</f>
        <v>AL 31-12-2015</v>
      </c>
      <c r="U12" s="166"/>
      <c r="V12" s="167"/>
    </row>
    <row r="13" spans="1:23" s="21" customFormat="1" x14ac:dyDescent="0.3">
      <c r="A13" s="169"/>
      <c r="B13" s="169"/>
      <c r="C13" s="170"/>
      <c r="D13" s="170"/>
      <c r="E13" s="170"/>
      <c r="F13" s="171"/>
      <c r="G13" s="171"/>
      <c r="H13" s="172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57"/>
      <c r="U13" s="165"/>
    </row>
    <row r="14" spans="1:23" x14ac:dyDescent="0.3">
      <c r="A14" s="158" t="s">
        <v>51</v>
      </c>
      <c r="B14" s="150">
        <v>41730</v>
      </c>
      <c r="C14" s="151">
        <f>VLOOKUP(B14,IPCINPC,2,)</f>
        <v>574.29999999999995</v>
      </c>
      <c r="D14" s="151">
        <f>$G$4</f>
        <v>826.4</v>
      </c>
      <c r="E14" s="152">
        <f>H5</f>
        <v>2357.9</v>
      </c>
      <c r="F14" s="153">
        <f>+D14/C14</f>
        <v>1.4389691798711475</v>
      </c>
      <c r="G14" s="175">
        <f>+E14/D14</f>
        <v>2.8532187802516944</v>
      </c>
      <c r="H14" s="172">
        <v>150000</v>
      </c>
      <c r="I14" s="174">
        <f>(H14*F14)</f>
        <v>215845.37698067212</v>
      </c>
      <c r="J14" s="174">
        <f>+H14/12*8</f>
        <v>100000</v>
      </c>
      <c r="K14" s="174">
        <f>(J14*F14)</f>
        <v>143896.91798711475</v>
      </c>
      <c r="L14" s="174">
        <f>((I14-H14)-(K14-J14))</f>
        <v>21948.458993557375</v>
      </c>
      <c r="M14" s="174">
        <v>150000</v>
      </c>
      <c r="N14" s="174">
        <f>(M14*G14)</f>
        <v>427982.81703775417</v>
      </c>
      <c r="O14" s="174">
        <v>150000</v>
      </c>
      <c r="P14" s="174">
        <f>(G14*O14)</f>
        <v>427982.81703775417</v>
      </c>
      <c r="Q14" s="172">
        <f>((N14-M14)-(P14-O14))</f>
        <v>0</v>
      </c>
      <c r="R14" s="174">
        <f>+Q14-L14</f>
        <v>-21948.458993557375</v>
      </c>
      <c r="U14" s="162"/>
    </row>
    <row r="15" spans="1:23" x14ac:dyDescent="0.3">
      <c r="A15" s="158" t="s">
        <v>53</v>
      </c>
      <c r="B15" s="150">
        <v>42095</v>
      </c>
      <c r="C15" s="151">
        <f>VLOOKUP(B15,IPCINPC,2,)</f>
        <v>1063.8</v>
      </c>
      <c r="D15" s="151">
        <f>$G$4</f>
        <v>826.4</v>
      </c>
      <c r="E15" s="152">
        <f>H5</f>
        <v>2357.9</v>
      </c>
      <c r="F15" s="153">
        <v>0</v>
      </c>
      <c r="G15" s="175">
        <f>(E15/C15)</f>
        <v>2.2164880616657268</v>
      </c>
      <c r="H15" s="172">
        <v>0</v>
      </c>
      <c r="I15" s="174">
        <f>(H15*F15)</f>
        <v>0</v>
      </c>
      <c r="J15" s="174">
        <v>0</v>
      </c>
      <c r="K15" s="174">
        <f>ROUND((+J15*F15),0)</f>
        <v>0</v>
      </c>
      <c r="L15" s="174">
        <f>((I15-H15)-(K15-J15))</f>
        <v>0</v>
      </c>
      <c r="M15" s="174">
        <v>180000</v>
      </c>
      <c r="N15" s="174">
        <f>(M15*G15)</f>
        <v>398967.85109983082</v>
      </c>
      <c r="O15" s="174">
        <v>120000</v>
      </c>
      <c r="P15" s="174">
        <f>(G15*O15)</f>
        <v>265978.56739988719</v>
      </c>
      <c r="Q15" s="174">
        <f>((N15-M15)-(P15-O15))</f>
        <v>72989.283699943626</v>
      </c>
      <c r="R15" s="174">
        <f>+Q15-L15</f>
        <v>72989.283699943626</v>
      </c>
      <c r="U15" s="162"/>
    </row>
    <row r="16" spans="1:23" s="21" customFormat="1" x14ac:dyDescent="0.3">
      <c r="A16" s="169"/>
      <c r="B16" s="169"/>
      <c r="C16" s="170"/>
      <c r="D16" s="170"/>
      <c r="E16" s="170"/>
      <c r="F16" s="171"/>
      <c r="G16" s="171"/>
      <c r="H16" s="172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57"/>
      <c r="U16" s="165"/>
    </row>
    <row r="17" spans="1:23" s="21" customFormat="1" x14ac:dyDescent="0.3">
      <c r="A17" s="176"/>
      <c r="B17" s="177"/>
      <c r="C17" s="178"/>
      <c r="D17" s="178"/>
      <c r="E17" s="178"/>
      <c r="F17" s="179"/>
      <c r="G17" s="179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4"/>
      <c r="T17" s="180"/>
      <c r="U17" s="173"/>
      <c r="V17" s="181"/>
      <c r="W17" s="182"/>
    </row>
    <row r="18" spans="1:23" s="21" customFormat="1" x14ac:dyDescent="0.3">
      <c r="A18" s="183"/>
      <c r="B18" s="183"/>
      <c r="C18" s="165"/>
      <c r="D18" s="178"/>
      <c r="E18" s="178"/>
      <c r="F18" s="184"/>
      <c r="G18" s="18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74"/>
      <c r="T18" s="173"/>
      <c r="U18" s="173"/>
    </row>
    <row r="19" spans="1:23" s="188" customFormat="1" ht="17.25" thickBot="1" x14ac:dyDescent="0.35">
      <c r="A19" s="493" t="s">
        <v>185</v>
      </c>
      <c r="B19" s="494"/>
      <c r="C19" s="494"/>
      <c r="D19" s="494"/>
      <c r="E19" s="494"/>
      <c r="F19" s="494"/>
      <c r="G19" s="495"/>
      <c r="H19" s="185">
        <f>SUM(H14:H18)</f>
        <v>150000</v>
      </c>
      <c r="I19" s="185">
        <f t="shared" ref="I19:R19" si="0">SUM(I14:I18)</f>
        <v>215845.37698067212</v>
      </c>
      <c r="J19" s="185">
        <f t="shared" si="0"/>
        <v>100000</v>
      </c>
      <c r="K19" s="185">
        <f t="shared" si="0"/>
        <v>143896.91798711475</v>
      </c>
      <c r="L19" s="185">
        <f t="shared" si="0"/>
        <v>21948.458993557375</v>
      </c>
      <c r="M19" s="185">
        <f t="shared" si="0"/>
        <v>330000</v>
      </c>
      <c r="N19" s="185">
        <f t="shared" si="0"/>
        <v>826950.66813758505</v>
      </c>
      <c r="O19" s="185">
        <f>SUM(O14:O18)</f>
        <v>270000</v>
      </c>
      <c r="P19" s="185">
        <f t="shared" si="0"/>
        <v>693961.38443764136</v>
      </c>
      <c r="Q19" s="185">
        <f t="shared" si="0"/>
        <v>72989.283699943626</v>
      </c>
      <c r="R19" s="185">
        <f t="shared" si="0"/>
        <v>51040.824706386251</v>
      </c>
      <c r="S19" s="186"/>
      <c r="T19" s="187"/>
      <c r="U19" s="187"/>
      <c r="V19" s="187"/>
    </row>
    <row r="20" spans="1:23" ht="17.25" thickTop="1" x14ac:dyDescent="0.3"/>
    <row r="21" spans="1:23" x14ac:dyDescent="0.3">
      <c r="A21" s="189"/>
      <c r="B21" s="190"/>
      <c r="E21" s="191"/>
      <c r="K21" s="174">
        <f>I19-K19</f>
        <v>71948.458993557375</v>
      </c>
      <c r="P21" s="174">
        <f>+N19-P19</f>
        <v>132989.28369994368</v>
      </c>
    </row>
    <row r="22" spans="1:23" x14ac:dyDescent="0.3">
      <c r="E22" s="192"/>
    </row>
    <row r="23" spans="1:23" x14ac:dyDescent="0.3">
      <c r="E23" s="156"/>
      <c r="L23" s="157">
        <f>27797.05-32409.54</f>
        <v>-4612.4900000000016</v>
      </c>
    </row>
    <row r="24" spans="1:23" x14ac:dyDescent="0.3">
      <c r="E24" s="156"/>
      <c r="O24" s="157">
        <f>4612-8832</f>
        <v>-4220</v>
      </c>
    </row>
  </sheetData>
  <mergeCells count="1">
    <mergeCell ref="A19:G19"/>
  </mergeCells>
  <phoneticPr fontId="0" type="noConversion"/>
  <pageMargins left="0.4" right="0.26" top="1" bottom="1" header="0" footer="0"/>
  <pageSetup scale="5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B37" zoomScaleNormal="100" workbookViewId="0">
      <selection activeCell="E60" sqref="E60"/>
    </sheetView>
  </sheetViews>
  <sheetFormatPr baseColWidth="10" defaultRowHeight="12.75" x14ac:dyDescent="0.2"/>
  <cols>
    <col min="1" max="1" width="4.5703125" style="422" customWidth="1"/>
    <col min="2" max="2" width="52" style="378" customWidth="1"/>
    <col min="3" max="3" width="16.5703125" style="390" customWidth="1"/>
    <col min="4" max="4" width="15.28515625" style="439" bestFit="1" customWidth="1"/>
    <col min="5" max="5" width="18.7109375" style="390" bestFit="1" customWidth="1"/>
    <col min="6" max="16384" width="11.42578125" style="378"/>
  </cols>
  <sheetData>
    <row r="1" spans="1:5" x14ac:dyDescent="0.2">
      <c r="B1" s="389" t="s">
        <v>80</v>
      </c>
      <c r="D1" s="423" t="s">
        <v>294</v>
      </c>
      <c r="E1" s="424">
        <f>'IPC-INPC'!L3</f>
        <v>2357.9</v>
      </c>
    </row>
    <row r="2" spans="1:5" x14ac:dyDescent="0.2">
      <c r="B2" s="389" t="s">
        <v>270</v>
      </c>
      <c r="D2" s="423" t="s">
        <v>262</v>
      </c>
      <c r="E2" s="424">
        <f>'IPC-INPC'!L15</f>
        <v>826.4</v>
      </c>
    </row>
    <row r="3" spans="1:5" x14ac:dyDescent="0.2">
      <c r="B3" s="389" t="s">
        <v>223</v>
      </c>
      <c r="D3" s="423" t="s">
        <v>139</v>
      </c>
      <c r="E3" s="424">
        <f>+E1/E2</f>
        <v>2.8532187802516944</v>
      </c>
    </row>
    <row r="4" spans="1:5" x14ac:dyDescent="0.2">
      <c r="A4" s="425"/>
      <c r="B4" s="425"/>
      <c r="D4" s="427"/>
      <c r="E4" s="426"/>
    </row>
    <row r="5" spans="1:5" x14ac:dyDescent="0.2">
      <c r="A5" s="428" t="s">
        <v>100</v>
      </c>
      <c r="B5" s="402"/>
      <c r="C5" s="430" t="s">
        <v>260</v>
      </c>
      <c r="D5" s="431" t="s">
        <v>139</v>
      </c>
      <c r="E5" s="429" t="s">
        <v>260</v>
      </c>
    </row>
    <row r="6" spans="1:5" x14ac:dyDescent="0.2">
      <c r="A6" s="432"/>
      <c r="B6" s="391" t="s">
        <v>32</v>
      </c>
      <c r="C6" s="433"/>
      <c r="D6" s="431"/>
      <c r="E6" s="433"/>
    </row>
    <row r="7" spans="1:5" x14ac:dyDescent="0.2">
      <c r="A7" s="432"/>
      <c r="B7" s="391" t="s">
        <v>24</v>
      </c>
      <c r="C7" s="433"/>
      <c r="D7" s="431"/>
      <c r="E7" s="433"/>
    </row>
    <row r="8" spans="1:5" x14ac:dyDescent="0.2">
      <c r="A8" s="432" t="s">
        <v>101</v>
      </c>
      <c r="B8" s="402" t="s">
        <v>0</v>
      </c>
      <c r="C8" s="433">
        <f>VLOOKUP(B8,BFIA,6,)</f>
        <v>500000</v>
      </c>
      <c r="D8" s="431">
        <f>+$E$3</f>
        <v>2.8532187802516944</v>
      </c>
      <c r="E8" s="433">
        <f>+C8*D8</f>
        <v>1426609.3901258472</v>
      </c>
    </row>
    <row r="9" spans="1:5" x14ac:dyDescent="0.2">
      <c r="A9" s="432" t="s">
        <v>101</v>
      </c>
      <c r="B9" s="402" t="s">
        <v>1</v>
      </c>
      <c r="C9" s="433">
        <f>VLOOKUP(B9,BFIA,6,)</f>
        <v>700000</v>
      </c>
      <c r="D9" s="431">
        <f>+$E$3</f>
        <v>2.8532187802516944</v>
      </c>
      <c r="E9" s="433">
        <f>+C9*D9</f>
        <v>1997253.1461761862</v>
      </c>
    </row>
    <row r="10" spans="1:5" x14ac:dyDescent="0.2">
      <c r="A10" s="432" t="s">
        <v>102</v>
      </c>
      <c r="B10" s="402" t="s">
        <v>2</v>
      </c>
      <c r="C10" s="433">
        <f>VLOOKUP(B10,BFIA,6,)</f>
        <v>1050000</v>
      </c>
      <c r="D10" s="431">
        <f>+$E$3</f>
        <v>2.8532187802516944</v>
      </c>
      <c r="E10" s="433">
        <f>+C10*D10</f>
        <v>2995879.7192642791</v>
      </c>
    </row>
    <row r="11" spans="1:5" x14ac:dyDescent="0.2">
      <c r="A11" s="432" t="s">
        <v>101</v>
      </c>
      <c r="B11" s="402" t="s">
        <v>3</v>
      </c>
      <c r="C11" s="433">
        <f>VLOOKUP(B11,BFIA,6,)</f>
        <v>2500000</v>
      </c>
      <c r="D11" s="431">
        <f>+$E$3</f>
        <v>2.8532187802516944</v>
      </c>
      <c r="E11" s="433">
        <f>+C11*D11</f>
        <v>7133046.9506292362</v>
      </c>
    </row>
    <row r="12" spans="1:5" x14ac:dyDescent="0.2">
      <c r="A12" s="432" t="s">
        <v>102</v>
      </c>
      <c r="B12" s="402" t="s">
        <v>4</v>
      </c>
      <c r="C12" s="433">
        <f>VLOOKUP(B12,BFIA,6,)</f>
        <v>71948.458993557375</v>
      </c>
      <c r="D12" s="431">
        <f>+$E$3</f>
        <v>2.8532187802516944</v>
      </c>
      <c r="E12" s="433">
        <f>+C12*D12</f>
        <v>205284.69441058682</v>
      </c>
    </row>
    <row r="13" spans="1:5" x14ac:dyDescent="0.2">
      <c r="A13" s="434">
        <f>SUM(A8:A12)</f>
        <v>0</v>
      </c>
      <c r="B13" s="391" t="s">
        <v>25</v>
      </c>
      <c r="C13" s="434">
        <f>SUM(C8:C12)</f>
        <v>4821948.4589935578</v>
      </c>
      <c r="D13" s="431"/>
      <c r="E13" s="434">
        <f>SUM(E8:E12)</f>
        <v>13758073.900606135</v>
      </c>
    </row>
    <row r="14" spans="1:5" x14ac:dyDescent="0.2">
      <c r="A14" s="432"/>
      <c r="B14" s="391"/>
      <c r="C14" s="433"/>
      <c r="D14" s="431"/>
      <c r="E14" s="433"/>
    </row>
    <row r="15" spans="1:5" x14ac:dyDescent="0.2">
      <c r="A15" s="432"/>
      <c r="B15" s="391" t="s">
        <v>11</v>
      </c>
      <c r="C15" s="433"/>
      <c r="D15" s="431"/>
      <c r="E15" s="433"/>
    </row>
    <row r="16" spans="1:5" x14ac:dyDescent="0.2">
      <c r="A16" s="432" t="s">
        <v>102</v>
      </c>
      <c r="B16" s="402" t="s">
        <v>12</v>
      </c>
      <c r="C16" s="433">
        <f>VLOOKUP(B16,BFIA,6,)</f>
        <v>341205.6151940545</v>
      </c>
      <c r="D16" s="431">
        <f>+$E$3</f>
        <v>2.8532187802516944</v>
      </c>
      <c r="E16" s="433">
        <f>+C16*D16</f>
        <v>973534.26919900917</v>
      </c>
    </row>
    <row r="17" spans="1:5" x14ac:dyDescent="0.2">
      <c r="A17" s="434">
        <f>SUM(A16)</f>
        <v>0</v>
      </c>
      <c r="B17" s="391" t="s">
        <v>33</v>
      </c>
      <c r="C17" s="434">
        <f>SUM(C16)</f>
        <v>341205.6151940545</v>
      </c>
      <c r="D17" s="431"/>
      <c r="E17" s="434">
        <f>SUM(E16)</f>
        <v>973534.26919900917</v>
      </c>
    </row>
    <row r="18" spans="1:5" x14ac:dyDescent="0.2">
      <c r="A18" s="432"/>
      <c r="B18" s="391"/>
      <c r="C18" s="433"/>
      <c r="D18" s="431"/>
      <c r="E18" s="433"/>
    </row>
    <row r="19" spans="1:5" x14ac:dyDescent="0.2">
      <c r="A19" s="432"/>
      <c r="B19" s="391" t="s">
        <v>5</v>
      </c>
      <c r="C19" s="433"/>
      <c r="D19" s="431"/>
      <c r="E19" s="433"/>
    </row>
    <row r="20" spans="1:5" x14ac:dyDescent="0.2">
      <c r="A20" s="432" t="s">
        <v>102</v>
      </c>
      <c r="B20" s="402" t="s">
        <v>63</v>
      </c>
      <c r="C20" s="433">
        <f>VLOOKUP(B20,BFIA,6,)</f>
        <v>2877938.359742295</v>
      </c>
      <c r="D20" s="431">
        <f>+$E$3</f>
        <v>2.8532187802516944</v>
      </c>
      <c r="E20" s="433">
        <f>+C20*D20</f>
        <v>8211387.7764234729</v>
      </c>
    </row>
    <row r="21" spans="1:5" x14ac:dyDescent="0.2">
      <c r="A21" s="432" t="s">
        <v>102</v>
      </c>
      <c r="B21" s="402" t="s">
        <v>6</v>
      </c>
      <c r="C21" s="433">
        <f>VLOOKUP(B21,BFIA,6,)</f>
        <v>3444915.1183643127</v>
      </c>
      <c r="D21" s="431">
        <f>+$E$3</f>
        <v>2.8532187802516944</v>
      </c>
      <c r="E21" s="433">
        <f>+C21*D21</f>
        <v>9829096.512090046</v>
      </c>
    </row>
    <row r="22" spans="1:5" x14ac:dyDescent="0.2">
      <c r="A22" s="432" t="s">
        <v>102</v>
      </c>
      <c r="B22" s="402" t="s">
        <v>7</v>
      </c>
      <c r="C22" s="433">
        <f>VLOOKUP(B22,BFIA,6,)</f>
        <v>523286.37011239509</v>
      </c>
      <c r="D22" s="431">
        <f>+$E$3</f>
        <v>2.8532187802516944</v>
      </c>
      <c r="E22" s="433">
        <f>+C22*D22</f>
        <v>1493050.4986544247</v>
      </c>
    </row>
    <row r="23" spans="1:5" x14ac:dyDescent="0.2">
      <c r="A23" s="432" t="s">
        <v>102</v>
      </c>
      <c r="B23" s="402" t="s">
        <v>8</v>
      </c>
      <c r="C23" s="433">
        <f>VLOOKUP(B23,BFIA,6,)</f>
        <v>-110324.58597135104</v>
      </c>
      <c r="D23" s="431">
        <f>+$E$3</f>
        <v>2.8532187802516944</v>
      </c>
      <c r="E23" s="433">
        <f>+C23*D23</f>
        <v>-314780.18061695143</v>
      </c>
    </row>
    <row r="24" spans="1:5" x14ac:dyDescent="0.2">
      <c r="A24" s="432" t="s">
        <v>102</v>
      </c>
      <c r="B24" s="402" t="s">
        <v>9</v>
      </c>
      <c r="C24" s="433">
        <f>VLOOKUP(B24,BFIA,6,)</f>
        <v>-61050.07651311277</v>
      </c>
      <c r="D24" s="431">
        <f>+$E$3</f>
        <v>2.8532187802516944</v>
      </c>
      <c r="E24" s="433">
        <f>+C24*D24</f>
        <v>-174189.22484301624</v>
      </c>
    </row>
    <row r="25" spans="1:5" x14ac:dyDescent="0.2">
      <c r="A25" s="434">
        <f>SUM(A20:A24)</f>
        <v>0</v>
      </c>
      <c r="B25" s="391" t="s">
        <v>10</v>
      </c>
      <c r="C25" s="434">
        <f>SUM(C20:C24)</f>
        <v>6674765.1857345393</v>
      </c>
      <c r="D25" s="431"/>
      <c r="E25" s="434">
        <f>SUM(E20:E24)</f>
        <v>19044565.381707974</v>
      </c>
    </row>
    <row r="26" spans="1:5" x14ac:dyDescent="0.2">
      <c r="A26" s="432"/>
      <c r="B26" s="402"/>
      <c r="C26" s="433"/>
      <c r="D26" s="431"/>
      <c r="E26" s="433"/>
    </row>
    <row r="27" spans="1:5" x14ac:dyDescent="0.2">
      <c r="A27" s="432"/>
      <c r="B27" s="391" t="s">
        <v>13</v>
      </c>
      <c r="C27" s="433"/>
      <c r="D27" s="431"/>
      <c r="E27" s="433"/>
    </row>
    <row r="28" spans="1:5" x14ac:dyDescent="0.2">
      <c r="A28" s="432" t="s">
        <v>101</v>
      </c>
      <c r="B28" s="402" t="s">
        <v>61</v>
      </c>
      <c r="C28" s="433">
        <f>VLOOKUP(B28,BFIA,6,)</f>
        <v>0</v>
      </c>
      <c r="D28" s="431">
        <f>+$E$3</f>
        <v>2.8532187802516944</v>
      </c>
      <c r="E28" s="433">
        <f>+C28*D28</f>
        <v>0</v>
      </c>
    </row>
    <row r="29" spans="1:5" x14ac:dyDescent="0.2">
      <c r="A29" s="432" t="s">
        <v>101</v>
      </c>
      <c r="B29" s="402" t="s">
        <v>62</v>
      </c>
      <c r="C29" s="433">
        <f>VLOOKUP(B29,BFIA,6,)</f>
        <v>0</v>
      </c>
      <c r="D29" s="431">
        <f>+$E$3</f>
        <v>2.8532187802516944</v>
      </c>
      <c r="E29" s="433">
        <f>+C29*D29</f>
        <v>0</v>
      </c>
    </row>
    <row r="30" spans="1:5" x14ac:dyDescent="0.2">
      <c r="A30" s="432" t="s">
        <v>101</v>
      </c>
      <c r="B30" s="402" t="s">
        <v>14</v>
      </c>
      <c r="C30" s="433">
        <f>VLOOKUP(B30,BFIA,6,)</f>
        <v>25000</v>
      </c>
      <c r="D30" s="431">
        <f>+$E$3</f>
        <v>2.8532187802516944</v>
      </c>
      <c r="E30" s="433">
        <f>+C30*D30</f>
        <v>71330.469506292357</v>
      </c>
    </row>
    <row r="31" spans="1:5" x14ac:dyDescent="0.2">
      <c r="A31" s="434">
        <f>SUM(A28:A30)</f>
        <v>0</v>
      </c>
      <c r="B31" s="391" t="s">
        <v>30</v>
      </c>
      <c r="C31" s="434">
        <f>SUM(C28:C30)</f>
        <v>25000</v>
      </c>
      <c r="D31" s="431"/>
      <c r="E31" s="434">
        <f>SUM(E28:E30)</f>
        <v>71330.469506292357</v>
      </c>
    </row>
    <row r="32" spans="1:5" x14ac:dyDescent="0.2">
      <c r="A32" s="432"/>
      <c r="B32" s="391"/>
      <c r="C32" s="433"/>
      <c r="D32" s="431"/>
      <c r="E32" s="433"/>
    </row>
    <row r="33" spans="1:5" x14ac:dyDescent="0.2">
      <c r="A33" s="435">
        <f>+A13+A17+A25+A31</f>
        <v>0</v>
      </c>
      <c r="B33" s="436" t="s">
        <v>31</v>
      </c>
      <c r="C33" s="440">
        <f>+C13+C17+C25+C31</f>
        <v>11862919.259922151</v>
      </c>
      <c r="D33" s="437"/>
      <c r="E33" s="440">
        <f>+E13+E17+E25+E31</f>
        <v>33847504.021019414</v>
      </c>
    </row>
    <row r="34" spans="1:5" x14ac:dyDescent="0.2">
      <c r="A34" s="432"/>
      <c r="B34" s="402"/>
      <c r="C34" s="433"/>
      <c r="D34" s="431"/>
      <c r="E34" s="441"/>
    </row>
    <row r="35" spans="1:5" x14ac:dyDescent="0.2">
      <c r="A35" s="432"/>
      <c r="B35" s="391" t="s">
        <v>15</v>
      </c>
      <c r="C35" s="433"/>
      <c r="D35" s="431"/>
      <c r="E35" s="441"/>
    </row>
    <row r="36" spans="1:5" x14ac:dyDescent="0.2">
      <c r="A36" s="432"/>
      <c r="B36" s="402"/>
      <c r="C36" s="433"/>
      <c r="D36" s="431"/>
      <c r="E36" s="441"/>
    </row>
    <row r="37" spans="1:5" x14ac:dyDescent="0.2">
      <c r="A37" s="432"/>
      <c r="B37" s="391" t="s">
        <v>16</v>
      </c>
      <c r="C37" s="433"/>
      <c r="D37" s="431"/>
      <c r="E37" s="441"/>
    </row>
    <row r="38" spans="1:5" x14ac:dyDescent="0.2">
      <c r="A38" s="432" t="s">
        <v>101</v>
      </c>
      <c r="B38" s="402" t="s">
        <v>17</v>
      </c>
      <c r="C38" s="433">
        <f>VLOOKUP(B38,BFIA,6,)</f>
        <v>-3902500</v>
      </c>
      <c r="D38" s="431">
        <f>+$E$3</f>
        <v>2.8532187802516944</v>
      </c>
      <c r="E38" s="441">
        <f>+C38*D38</f>
        <v>-11134686.289932238</v>
      </c>
    </row>
    <row r="39" spans="1:5" x14ac:dyDescent="0.2">
      <c r="A39" s="434">
        <f>SUM(A38)</f>
        <v>0</v>
      </c>
      <c r="B39" s="391" t="s">
        <v>26</v>
      </c>
      <c r="C39" s="442">
        <f>SUM(C38)</f>
        <v>-3902500</v>
      </c>
      <c r="D39" s="431"/>
      <c r="E39" s="442">
        <f>SUM(E38)</f>
        <v>-11134686.289932238</v>
      </c>
    </row>
    <row r="40" spans="1:5" x14ac:dyDescent="0.2">
      <c r="A40" s="432"/>
      <c r="B40" s="402"/>
      <c r="C40" s="433"/>
      <c r="D40" s="431"/>
      <c r="E40" s="441"/>
    </row>
    <row r="41" spans="1:5" x14ac:dyDescent="0.2">
      <c r="A41" s="432"/>
      <c r="B41" s="391" t="s">
        <v>18</v>
      </c>
      <c r="C41" s="433"/>
      <c r="D41" s="431"/>
      <c r="E41" s="441"/>
    </row>
    <row r="42" spans="1:5" x14ac:dyDescent="0.2">
      <c r="A42" s="432" t="s">
        <v>101</v>
      </c>
      <c r="B42" s="402" t="s">
        <v>19</v>
      </c>
      <c r="C42" s="433">
        <f>VLOOKUP(B42,BFIA,6,)</f>
        <v>-1316062</v>
      </c>
      <c r="D42" s="431">
        <f>+$E$3</f>
        <v>2.8532187802516944</v>
      </c>
      <c r="E42" s="441">
        <f>+C42*D42</f>
        <v>-3755012.8143756054</v>
      </c>
    </row>
    <row r="43" spans="1:5" x14ac:dyDescent="0.2">
      <c r="A43" s="432" t="s">
        <v>101</v>
      </c>
      <c r="B43" s="402" t="s">
        <v>248</v>
      </c>
      <c r="C43" s="433">
        <f>VLOOKUP(B43,BFIA,6,)</f>
        <v>0</v>
      </c>
      <c r="D43" s="431">
        <f>+$E$3</f>
        <v>2.8532187802516944</v>
      </c>
      <c r="E43" s="441">
        <f>+C43*D43</f>
        <v>0</v>
      </c>
    </row>
    <row r="44" spans="1:5" x14ac:dyDescent="0.2">
      <c r="A44" s="434"/>
      <c r="B44" s="391" t="s">
        <v>27</v>
      </c>
      <c r="C44" s="442">
        <f>+C42+C43</f>
        <v>-1316062</v>
      </c>
      <c r="D44" s="431"/>
      <c r="E44" s="442">
        <f>+E42+E43</f>
        <v>-3755012.8143756054</v>
      </c>
    </row>
    <row r="45" spans="1:5" x14ac:dyDescent="0.2">
      <c r="A45" s="434"/>
      <c r="B45" s="391" t="s">
        <v>15</v>
      </c>
      <c r="C45" s="442">
        <f>+C39+C44</f>
        <v>-5218562</v>
      </c>
      <c r="D45" s="431"/>
      <c r="E45" s="442">
        <f>+E39+E44</f>
        <v>-14889699.104307843</v>
      </c>
    </row>
    <row r="46" spans="1:5" x14ac:dyDescent="0.2">
      <c r="A46" s="432"/>
      <c r="B46" s="391"/>
      <c r="C46" s="433"/>
      <c r="D46" s="431"/>
      <c r="E46" s="442"/>
    </row>
    <row r="47" spans="1:5" x14ac:dyDescent="0.2">
      <c r="A47" s="432"/>
      <c r="B47" s="391" t="s">
        <v>20</v>
      </c>
      <c r="C47" s="433"/>
      <c r="D47" s="431"/>
      <c r="E47" s="441"/>
    </row>
    <row r="48" spans="1:5" x14ac:dyDescent="0.2">
      <c r="A48" s="432" t="s">
        <v>102</v>
      </c>
      <c r="B48" s="402" t="s">
        <v>21</v>
      </c>
      <c r="C48" s="433">
        <f>VLOOKUP(B48,BFIA,6,)</f>
        <v>-3000000</v>
      </c>
      <c r="D48" s="431"/>
      <c r="E48" s="441">
        <f>+C48</f>
        <v>-3000000</v>
      </c>
    </row>
    <row r="49" spans="1:5" x14ac:dyDescent="0.2">
      <c r="A49" s="432" t="s">
        <v>102</v>
      </c>
      <c r="B49" s="402" t="s">
        <v>22</v>
      </c>
      <c r="C49" s="433">
        <f>VLOOKUP(B49,BFIA,6,)</f>
        <v>-89250</v>
      </c>
      <c r="D49" s="431"/>
      <c r="E49" s="441">
        <f>+C49</f>
        <v>-89250</v>
      </c>
    </row>
    <row r="50" spans="1:5" x14ac:dyDescent="0.2">
      <c r="A50" s="432" t="s">
        <v>102</v>
      </c>
      <c r="B50" s="402" t="s">
        <v>23</v>
      </c>
      <c r="C50" s="433">
        <f>VLOOKUP(B50,BFIA,6,)</f>
        <v>-1597188</v>
      </c>
      <c r="D50" s="431"/>
      <c r="E50" s="441">
        <f>+C50</f>
        <v>-1597188</v>
      </c>
    </row>
    <row r="51" spans="1:5" x14ac:dyDescent="0.2">
      <c r="A51" s="432"/>
      <c r="B51" s="402" t="s">
        <v>105</v>
      </c>
      <c r="C51" s="433">
        <f>VLOOKUP(B51,BFIA,6,)</f>
        <v>-440000</v>
      </c>
      <c r="D51" s="431"/>
      <c r="E51" s="441">
        <f>+C51</f>
        <v>-440000</v>
      </c>
    </row>
    <row r="52" spans="1:5" x14ac:dyDescent="0.2">
      <c r="A52" s="432"/>
      <c r="B52" s="402" t="s">
        <v>106</v>
      </c>
      <c r="C52" s="433">
        <f>VLOOKUP(B52,BFIA,6,)</f>
        <v>-1517919.2599221512</v>
      </c>
      <c r="D52" s="431"/>
      <c r="E52" s="441">
        <f>+C52</f>
        <v>-1517919.2599221512</v>
      </c>
    </row>
    <row r="53" spans="1:5" x14ac:dyDescent="0.2">
      <c r="A53" s="434">
        <f>SUM(A48:A52)</f>
        <v>0</v>
      </c>
      <c r="B53" s="391" t="s">
        <v>28</v>
      </c>
      <c r="C53" s="434">
        <f t="shared" ref="C53:E53" si="0">SUM(C48:C52)</f>
        <v>-6644357.2599221515</v>
      </c>
      <c r="D53" s="431"/>
      <c r="E53" s="442">
        <f t="shared" si="0"/>
        <v>-6644357.2599221515</v>
      </c>
    </row>
    <row r="54" spans="1:5" x14ac:dyDescent="0.2">
      <c r="A54" s="432"/>
      <c r="B54" s="402"/>
      <c r="C54" s="433"/>
      <c r="D54" s="431"/>
      <c r="E54" s="441"/>
    </row>
    <row r="55" spans="1:5" x14ac:dyDescent="0.2">
      <c r="A55" s="435">
        <f>+A39+A44+A53</f>
        <v>0</v>
      </c>
      <c r="B55" s="436" t="s">
        <v>29</v>
      </c>
      <c r="C55" s="440">
        <f>+C39+C44+C53</f>
        <v>-11862919.259922151</v>
      </c>
      <c r="D55" s="437"/>
      <c r="E55" s="440">
        <f>+E39+E44+E53</f>
        <v>-21534056.364229996</v>
      </c>
    </row>
    <row r="56" spans="1:5" x14ac:dyDescent="0.2">
      <c r="A56" s="432"/>
      <c r="B56" s="402"/>
      <c r="C56" s="433">
        <f>+C33+C55</f>
        <v>0</v>
      </c>
      <c r="D56" s="438"/>
      <c r="E56" s="441"/>
    </row>
    <row r="57" spans="1:5" x14ac:dyDescent="0.2">
      <c r="D57" s="378"/>
      <c r="E57" s="378"/>
    </row>
    <row r="58" spans="1:5" x14ac:dyDescent="0.2">
      <c r="D58" s="443" t="s">
        <v>286</v>
      </c>
      <c r="E58" s="442">
        <f>E33+E45</f>
        <v>18957804.916711569</v>
      </c>
    </row>
    <row r="59" spans="1:5" x14ac:dyDescent="0.2">
      <c r="D59" s="443" t="s">
        <v>287</v>
      </c>
      <c r="E59" s="442">
        <f>E58+E53</f>
        <v>12313447.656789418</v>
      </c>
    </row>
  </sheetData>
  <phoneticPr fontId="0" type="noConversion"/>
  <pageMargins left="0.21" right="0.23" top="0.71" bottom="0.21" header="0" footer="0"/>
  <pageSetup scale="95" orientation="portrait" verticalDpi="14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75" zoomScaleNormal="75" workbookViewId="0">
      <selection activeCell="L23" sqref="L23"/>
    </sheetView>
  </sheetViews>
  <sheetFormatPr baseColWidth="10" defaultRowHeight="15.75" x14ac:dyDescent="0.25"/>
  <cols>
    <col min="1" max="1" width="28.5703125" style="81" customWidth="1"/>
    <col min="2" max="2" width="11.5703125" style="77" bestFit="1" customWidth="1"/>
    <col min="3" max="3" width="11.7109375" style="77" customWidth="1"/>
    <col min="4" max="4" width="11.85546875" style="77" bestFit="1" customWidth="1"/>
    <col min="5" max="5" width="13.85546875" style="77" bestFit="1" customWidth="1"/>
    <col min="6" max="6" width="14.28515625" style="77" bestFit="1" customWidth="1"/>
    <col min="7" max="7" width="14" style="81" bestFit="1" customWidth="1"/>
    <col min="8" max="8" width="13.28515625" style="81" bestFit="1" customWidth="1"/>
    <col min="9" max="9" width="14.85546875" style="81" bestFit="1" customWidth="1"/>
    <col min="10" max="10" width="14.28515625" style="81" bestFit="1" customWidth="1"/>
    <col min="11" max="11" width="12.5703125" style="81" bestFit="1" customWidth="1"/>
    <col min="12" max="13" width="14.140625" style="81" bestFit="1" customWidth="1"/>
    <col min="14" max="16" width="14" style="81" bestFit="1" customWidth="1"/>
    <col min="17" max="16384" width="11.42578125" style="81"/>
  </cols>
  <sheetData>
    <row r="1" spans="1:21" x14ac:dyDescent="0.25">
      <c r="A1" s="317" t="s">
        <v>80</v>
      </c>
    </row>
    <row r="2" spans="1:21" x14ac:dyDescent="0.25">
      <c r="A2" s="317" t="s">
        <v>81</v>
      </c>
    </row>
    <row r="3" spans="1:21" x14ac:dyDescent="0.25">
      <c r="A3" s="317" t="s">
        <v>64</v>
      </c>
      <c r="B3" s="82"/>
      <c r="E3" s="77">
        <f>'ACTIVOS FIJOS AR'!F3</f>
        <v>0</v>
      </c>
      <c r="F3" s="77" t="str">
        <f>'ACTIVOS FIJOS AR'!G3</f>
        <v>CIERRE 2014</v>
      </c>
      <c r="G3" s="81" t="str">
        <f>'ACTIVOS FIJOS AR'!H3</f>
        <v>CIERRE 2015</v>
      </c>
    </row>
    <row r="4" spans="1:21" x14ac:dyDescent="0.25">
      <c r="A4" s="318" t="s">
        <v>117</v>
      </c>
      <c r="B4" s="82"/>
      <c r="C4" s="83"/>
      <c r="D4" s="83"/>
      <c r="E4" s="83" t="str">
        <f>'ACTIVOS FIJOS AR'!F4</f>
        <v>IPC</v>
      </c>
      <c r="F4" s="83">
        <f>'ACTIVOS FIJOS AR'!G4</f>
        <v>826.4</v>
      </c>
      <c r="G4" s="81">
        <f>'ACTIVOS FIJOS AR'!H4</f>
        <v>2146.1</v>
      </c>
    </row>
    <row r="5" spans="1:21" x14ac:dyDescent="0.25">
      <c r="A5" s="55" t="s">
        <v>271</v>
      </c>
      <c r="E5" s="77" t="str">
        <f>'ACTIVOS FIJOS AR'!F5</f>
        <v>INPC</v>
      </c>
      <c r="F5" s="77">
        <f>'ACTIVOS FIJOS AR'!G5</f>
        <v>839.5</v>
      </c>
      <c r="G5" s="81">
        <f>'ACTIVOS FIJOS AR'!H5</f>
        <v>2357.9</v>
      </c>
    </row>
    <row r="6" spans="1:21" x14ac:dyDescent="0.25">
      <c r="A6" s="55" t="s">
        <v>272</v>
      </c>
    </row>
    <row r="9" spans="1:21" x14ac:dyDescent="0.25">
      <c r="A9" s="86"/>
      <c r="C9" s="87"/>
      <c r="D9" s="87"/>
      <c r="E9" s="87"/>
      <c r="F9" s="87"/>
      <c r="G9" s="88"/>
    </row>
    <row r="10" spans="1:21" s="90" customFormat="1" ht="24" customHeight="1" thickBot="1" x14ac:dyDescent="0.3">
      <c r="A10" s="89" t="s">
        <v>121</v>
      </c>
      <c r="B10" s="89" t="s">
        <v>122</v>
      </c>
      <c r="C10" s="89" t="s">
        <v>123</v>
      </c>
      <c r="D10" s="89" t="s">
        <v>124</v>
      </c>
      <c r="E10" s="89" t="s">
        <v>125</v>
      </c>
      <c r="F10" s="89" t="s">
        <v>126</v>
      </c>
      <c r="G10" s="89" t="s">
        <v>127</v>
      </c>
      <c r="H10" s="89" t="s">
        <v>128</v>
      </c>
      <c r="I10" s="89" t="s">
        <v>129</v>
      </c>
      <c r="J10" s="89" t="s">
        <v>130</v>
      </c>
      <c r="K10" s="89" t="s">
        <v>131</v>
      </c>
      <c r="L10" s="89" t="s">
        <v>132</v>
      </c>
      <c r="M10" s="89" t="s">
        <v>133</v>
      </c>
      <c r="N10" s="89" t="s">
        <v>134</v>
      </c>
      <c r="O10" s="89" t="s">
        <v>135</v>
      </c>
      <c r="P10" s="89" t="s">
        <v>136</v>
      </c>
      <c r="Q10" s="52"/>
      <c r="R10" s="52"/>
      <c r="S10" s="52"/>
      <c r="T10" s="52"/>
      <c r="U10" s="52"/>
    </row>
    <row r="11" spans="1:21" s="99" customFormat="1" ht="24" customHeight="1" x14ac:dyDescent="0.25">
      <c r="A11" s="91"/>
      <c r="B11" s="92" t="s">
        <v>137</v>
      </c>
      <c r="C11" s="93" t="s">
        <v>280</v>
      </c>
      <c r="D11" s="94" t="s">
        <v>138</v>
      </c>
      <c r="E11" s="93" t="s">
        <v>139</v>
      </c>
      <c r="F11" s="95" t="s">
        <v>140</v>
      </c>
      <c r="G11" s="93" t="s">
        <v>141</v>
      </c>
      <c r="H11" s="95" t="s">
        <v>142</v>
      </c>
      <c r="I11" s="96" t="s">
        <v>143</v>
      </c>
      <c r="J11" s="95" t="s">
        <v>140</v>
      </c>
      <c r="K11" s="97" t="s">
        <v>2</v>
      </c>
      <c r="L11" s="95" t="s">
        <v>2</v>
      </c>
      <c r="M11" s="96" t="s">
        <v>2</v>
      </c>
      <c r="N11" s="95" t="s">
        <v>2</v>
      </c>
      <c r="O11" s="96" t="s">
        <v>142</v>
      </c>
      <c r="P11" s="98" t="s">
        <v>144</v>
      </c>
      <c r="Q11" s="86"/>
      <c r="R11" s="86"/>
      <c r="S11" s="86"/>
      <c r="T11" s="86"/>
      <c r="U11" s="86"/>
    </row>
    <row r="12" spans="1:21" s="99" customFormat="1" ht="24" customHeight="1" x14ac:dyDescent="0.25">
      <c r="A12" s="100" t="s">
        <v>145</v>
      </c>
      <c r="B12" s="101" t="s">
        <v>146</v>
      </c>
      <c r="C12" s="102" t="s">
        <v>113</v>
      </c>
      <c r="D12" s="103" t="s">
        <v>113</v>
      </c>
      <c r="E12" s="102" t="s">
        <v>147</v>
      </c>
      <c r="F12" s="104" t="s">
        <v>148</v>
      </c>
      <c r="G12" s="102" t="s">
        <v>149</v>
      </c>
      <c r="H12" s="104" t="s">
        <v>150</v>
      </c>
      <c r="I12" s="105" t="s">
        <v>149</v>
      </c>
      <c r="J12" s="104" t="s">
        <v>148</v>
      </c>
      <c r="K12" s="106" t="s">
        <v>151</v>
      </c>
      <c r="L12" s="104" t="s">
        <v>152</v>
      </c>
      <c r="M12" s="105" t="s">
        <v>152</v>
      </c>
      <c r="N12" s="104" t="s">
        <v>152</v>
      </c>
      <c r="O12" s="105" t="s">
        <v>150</v>
      </c>
      <c r="P12" s="107" t="s">
        <v>153</v>
      </c>
      <c r="Q12" s="86"/>
      <c r="R12" s="86"/>
      <c r="S12" s="86"/>
      <c r="T12" s="86"/>
      <c r="U12" s="86"/>
    </row>
    <row r="13" spans="1:21" s="99" customFormat="1" ht="24" customHeight="1" thickBot="1" x14ac:dyDescent="0.3">
      <c r="A13" s="108"/>
      <c r="B13" s="109" t="s">
        <v>154</v>
      </c>
      <c r="C13" s="110" t="s">
        <v>155</v>
      </c>
      <c r="D13" s="109" t="s">
        <v>154</v>
      </c>
      <c r="E13" s="111" t="s">
        <v>268</v>
      </c>
      <c r="F13" s="109" t="s">
        <v>261</v>
      </c>
      <c r="G13" s="110" t="str">
        <f>+F13</f>
        <v>AL 31-12-2014</v>
      </c>
      <c r="H13" s="112" t="str">
        <f>+F13</f>
        <v>AL 31-12-2014</v>
      </c>
      <c r="I13" s="110" t="str">
        <f>+E13</f>
        <v>AL 31-12-2015</v>
      </c>
      <c r="J13" s="112" t="str">
        <f>+I13</f>
        <v>AL 31-12-2015</v>
      </c>
      <c r="K13" s="113" t="s">
        <v>156</v>
      </c>
      <c r="L13" s="114" t="s">
        <v>157</v>
      </c>
      <c r="M13" s="115" t="s">
        <v>157</v>
      </c>
      <c r="N13" s="114" t="s">
        <v>157</v>
      </c>
      <c r="O13" s="110" t="str">
        <f>+N13</f>
        <v>ACTUALIZADO</v>
      </c>
      <c r="P13" s="116" t="str">
        <f>+O13</f>
        <v>ACTUALIZADO</v>
      </c>
      <c r="Q13" s="86"/>
      <c r="R13" s="86"/>
      <c r="S13" s="86"/>
      <c r="T13" s="86"/>
      <c r="U13" s="86"/>
    </row>
    <row r="14" spans="1:21" s="126" customFormat="1" ht="24" customHeight="1" x14ac:dyDescent="0.25">
      <c r="A14" s="117"/>
      <c r="B14" s="321"/>
      <c r="C14" s="119"/>
      <c r="D14" s="118"/>
      <c r="E14" s="120"/>
      <c r="F14" s="121"/>
      <c r="G14" s="122"/>
      <c r="H14" s="121"/>
      <c r="I14" s="123"/>
      <c r="J14" s="121"/>
      <c r="K14" s="124" t="s">
        <v>54</v>
      </c>
      <c r="L14" s="121"/>
      <c r="M14" s="81"/>
      <c r="N14" s="121"/>
      <c r="O14" s="81"/>
      <c r="P14" s="125"/>
      <c r="Q14" s="81"/>
      <c r="R14" s="81"/>
      <c r="S14" s="81"/>
      <c r="T14" s="81"/>
      <c r="U14" s="81"/>
    </row>
    <row r="15" spans="1:21" s="126" customFormat="1" ht="24" customHeight="1" x14ac:dyDescent="0.25">
      <c r="A15" s="319" t="s">
        <v>96</v>
      </c>
      <c r="B15" s="322">
        <v>42004</v>
      </c>
      <c r="C15" s="320">
        <f>G5</f>
        <v>2357.9</v>
      </c>
      <c r="D15" s="421">
        <f>F4</f>
        <v>826.4</v>
      </c>
      <c r="E15" s="84">
        <f>+C15/D15</f>
        <v>2.8532187802516944</v>
      </c>
      <c r="F15" s="85">
        <v>1050000</v>
      </c>
      <c r="G15" s="133">
        <v>1050000</v>
      </c>
      <c r="H15" s="132">
        <f>+G15-F15</f>
        <v>0</v>
      </c>
      <c r="I15" s="133">
        <f>ROUND((+E15*G15),2)</f>
        <v>2995879.72</v>
      </c>
      <c r="J15" s="132">
        <v>1010000</v>
      </c>
      <c r="K15" s="133">
        <f>+IF(J15-F15&gt;0,J15-F15,0)</f>
        <v>0</v>
      </c>
      <c r="L15" s="132">
        <f>+IF(J15&gt;F15,I15+K15,0)</f>
        <v>0</v>
      </c>
      <c r="M15" s="133">
        <f>ROUND((+IF(J15&lt;F15,J15*I15/F15,0)),2)</f>
        <v>2881750.97</v>
      </c>
      <c r="N15" s="132">
        <f>+IF(J15=F15,I15,0)</f>
        <v>0</v>
      </c>
      <c r="O15" s="133">
        <f>ROUND((+N15+M15+L15-J15),0)</f>
        <v>1871751</v>
      </c>
      <c r="P15" s="134">
        <f>ROUND((+O15-H15),0)</f>
        <v>1871751</v>
      </c>
      <c r="Q15" s="135"/>
      <c r="R15" s="81"/>
      <c r="S15" s="81"/>
      <c r="T15" s="81"/>
      <c r="U15" s="81"/>
    </row>
    <row r="16" spans="1:21" s="126" customFormat="1" ht="24" customHeight="1" x14ac:dyDescent="0.25">
      <c r="A16" s="127"/>
      <c r="B16" s="128"/>
      <c r="C16" s="129"/>
      <c r="D16" s="130"/>
      <c r="E16" s="131"/>
      <c r="F16" s="132"/>
      <c r="G16" s="135"/>
      <c r="H16" s="132"/>
      <c r="I16" s="133"/>
      <c r="J16" s="132"/>
      <c r="K16" s="133"/>
      <c r="L16" s="132"/>
      <c r="M16" s="133"/>
      <c r="N16" s="132"/>
      <c r="O16" s="133"/>
      <c r="P16" s="134"/>
      <c r="Q16" s="135"/>
      <c r="R16" s="81"/>
      <c r="S16" s="81"/>
      <c r="T16" s="81"/>
      <c r="U16" s="81"/>
    </row>
    <row r="17" spans="1:21" s="99" customFormat="1" ht="24" customHeight="1" thickBot="1" x14ac:dyDescent="0.3">
      <c r="A17" s="136" t="s">
        <v>158</v>
      </c>
      <c r="B17" s="137"/>
      <c r="C17" s="138"/>
      <c r="D17" s="137"/>
      <c r="E17" s="139"/>
      <c r="F17" s="140">
        <f t="shared" ref="F17:P17" si="0">SUM(F15:F15)</f>
        <v>1050000</v>
      </c>
      <c r="G17" s="141">
        <f t="shared" si="0"/>
        <v>1050000</v>
      </c>
      <c r="H17" s="140">
        <f t="shared" si="0"/>
        <v>0</v>
      </c>
      <c r="I17" s="141">
        <f t="shared" si="0"/>
        <v>2995879.72</v>
      </c>
      <c r="J17" s="140">
        <f t="shared" si="0"/>
        <v>1010000</v>
      </c>
      <c r="K17" s="141">
        <f t="shared" si="0"/>
        <v>0</v>
      </c>
      <c r="L17" s="140">
        <f t="shared" si="0"/>
        <v>0</v>
      </c>
      <c r="M17" s="141">
        <f t="shared" si="0"/>
        <v>2881750.97</v>
      </c>
      <c r="N17" s="140">
        <f t="shared" si="0"/>
        <v>0</v>
      </c>
      <c r="O17" s="141">
        <f t="shared" si="0"/>
        <v>1871751</v>
      </c>
      <c r="P17" s="148">
        <f t="shared" si="0"/>
        <v>1871751</v>
      </c>
      <c r="Q17" s="142"/>
      <c r="R17" s="86"/>
      <c r="S17" s="86"/>
      <c r="T17" s="86"/>
      <c r="U17" s="86"/>
    </row>
    <row r="28" spans="1:21" x14ac:dyDescent="0.25">
      <c r="B28" s="87"/>
      <c r="C28" s="87"/>
      <c r="D28" s="87"/>
      <c r="E28" s="87"/>
      <c r="F28" s="87"/>
      <c r="G28" s="143"/>
    </row>
    <row r="29" spans="1:21" ht="20.25" x14ac:dyDescent="0.55000000000000004">
      <c r="B29" s="496"/>
      <c r="C29" s="496"/>
      <c r="D29" s="496"/>
      <c r="E29" s="496"/>
      <c r="F29" s="144"/>
      <c r="G29" s="77"/>
    </row>
  </sheetData>
  <mergeCells count="1">
    <mergeCell ref="B29:E29"/>
  </mergeCells>
  <phoneticPr fontId="0" type="noConversion"/>
  <pageMargins left="0.36" right="0.23" top="0.55000000000000004" bottom="1" header="0" footer="0"/>
  <pageSetup scale="5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Normal="100" workbookViewId="0">
      <selection activeCell="D16" sqref="D16"/>
    </sheetView>
  </sheetViews>
  <sheetFormatPr baseColWidth="10" defaultRowHeight="16.5" x14ac:dyDescent="0.3"/>
  <cols>
    <col min="1" max="1" width="39.7109375" style="21" customWidth="1"/>
    <col min="2" max="2" width="12.28515625" style="21" bestFit="1" customWidth="1"/>
    <col min="3" max="3" width="10.85546875" style="21" bestFit="1" customWidth="1"/>
    <col min="4" max="4" width="12.28515625" style="21" bestFit="1" customWidth="1"/>
    <col min="5" max="5" width="13.42578125" style="21" bestFit="1" customWidth="1"/>
    <col min="6" max="6" width="13" style="21" bestFit="1" customWidth="1"/>
    <col min="7" max="7" width="14" style="21" bestFit="1" customWidth="1"/>
    <col min="8" max="8" width="13" style="21" bestFit="1" customWidth="1"/>
    <col min="9" max="9" width="11.140625" style="21" bestFit="1" customWidth="1"/>
    <col min="10" max="10" width="14.42578125" style="21" customWidth="1"/>
    <col min="11" max="16384" width="11.42578125" style="21"/>
  </cols>
  <sheetData>
    <row r="1" spans="1:15" x14ac:dyDescent="0.3">
      <c r="A1" s="20" t="s">
        <v>80</v>
      </c>
    </row>
    <row r="2" spans="1:15" x14ac:dyDescent="0.3">
      <c r="A2" s="20" t="s">
        <v>81</v>
      </c>
    </row>
    <row r="3" spans="1:15" x14ac:dyDescent="0.3">
      <c r="A3" s="20" t="s">
        <v>64</v>
      </c>
      <c r="F3" s="21" t="str">
        <f>INVENTARIOS!F3</f>
        <v>CIERRE 2014</v>
      </c>
      <c r="G3" s="21" t="str">
        <f>INVENTARIOS!G3</f>
        <v>CIERRE 2015</v>
      </c>
    </row>
    <row r="4" spans="1:15" x14ac:dyDescent="0.3">
      <c r="A4" s="193" t="s">
        <v>117</v>
      </c>
      <c r="E4" s="77" t="str">
        <f>INVENTARIOS!E4</f>
        <v>IPC</v>
      </c>
      <c r="F4" s="77">
        <f>INVENTARIOS!F4</f>
        <v>826.4</v>
      </c>
      <c r="G4" s="81">
        <f>INVENTARIOS!G4</f>
        <v>2146.1</v>
      </c>
    </row>
    <row r="5" spans="1:15" x14ac:dyDescent="0.3">
      <c r="A5" s="80" t="s">
        <v>273</v>
      </c>
      <c r="E5" s="83" t="str">
        <f>INVENTARIOS!E5</f>
        <v>INPC</v>
      </c>
      <c r="F5" s="83">
        <f>INVENTARIOS!F5</f>
        <v>839.5</v>
      </c>
      <c r="G5" s="81">
        <f>INVENTARIOS!G5</f>
        <v>2357.9</v>
      </c>
    </row>
    <row r="6" spans="1:15" x14ac:dyDescent="0.3">
      <c r="A6" s="80" t="s">
        <v>274</v>
      </c>
      <c r="E6" s="77"/>
      <c r="F6" s="77"/>
      <c r="G6" s="81"/>
    </row>
    <row r="7" spans="1:15" x14ac:dyDescent="0.3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5" x14ac:dyDescent="0.3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5" ht="17.25" thickBot="1" x14ac:dyDescent="0.35">
      <c r="A9" s="163" t="s">
        <v>121</v>
      </c>
      <c r="B9" s="163" t="s">
        <v>122</v>
      </c>
      <c r="C9" s="163" t="s">
        <v>123</v>
      </c>
      <c r="D9" s="163" t="s">
        <v>124</v>
      </c>
      <c r="E9" s="163" t="s">
        <v>125</v>
      </c>
      <c r="F9" s="163" t="s">
        <v>126</v>
      </c>
      <c r="G9" s="163" t="s">
        <v>127</v>
      </c>
      <c r="H9" s="163" t="s">
        <v>128</v>
      </c>
      <c r="I9" s="497" t="s">
        <v>129</v>
      </c>
      <c r="J9" s="497"/>
      <c r="O9" s="280"/>
    </row>
    <row r="10" spans="1:15" s="158" customFormat="1" ht="17.25" thickBot="1" x14ac:dyDescent="0.35">
      <c r="A10" s="281" t="s">
        <v>186</v>
      </c>
      <c r="B10" s="246" t="s">
        <v>187</v>
      </c>
      <c r="C10" s="247" t="s">
        <v>280</v>
      </c>
      <c r="D10" s="246" t="s">
        <v>293</v>
      </c>
      <c r="E10" s="247" t="s">
        <v>188</v>
      </c>
      <c r="F10" s="246" t="s">
        <v>189</v>
      </c>
      <c r="G10" s="246" t="s">
        <v>190</v>
      </c>
      <c r="H10" s="247" t="s">
        <v>191</v>
      </c>
      <c r="I10" s="498" t="s">
        <v>192</v>
      </c>
      <c r="J10" s="499"/>
      <c r="O10" s="282"/>
    </row>
    <row r="11" spans="1:15" s="158" customFormat="1" x14ac:dyDescent="0.3">
      <c r="A11" s="283" t="s">
        <v>193</v>
      </c>
      <c r="B11" s="248" t="s">
        <v>194</v>
      </c>
      <c r="C11" s="158" t="s">
        <v>195</v>
      </c>
      <c r="D11" s="248" t="s">
        <v>194</v>
      </c>
      <c r="E11" s="158" t="s">
        <v>196</v>
      </c>
      <c r="F11" s="248" t="s">
        <v>197</v>
      </c>
      <c r="G11" s="248" t="s">
        <v>198</v>
      </c>
      <c r="H11" s="158" t="s">
        <v>199</v>
      </c>
      <c r="I11" s="283" t="s">
        <v>191</v>
      </c>
      <c r="J11" s="246" t="s">
        <v>191</v>
      </c>
      <c r="O11" s="282"/>
    </row>
    <row r="12" spans="1:15" s="158" customFormat="1" x14ac:dyDescent="0.3">
      <c r="A12" s="283" t="s">
        <v>200</v>
      </c>
      <c r="B12" s="248" t="s">
        <v>201</v>
      </c>
      <c r="C12" s="158" t="s">
        <v>202</v>
      </c>
      <c r="D12" s="248" t="s">
        <v>200</v>
      </c>
      <c r="E12" s="158" t="s">
        <v>203</v>
      </c>
      <c r="F12" s="248" t="s">
        <v>204</v>
      </c>
      <c r="G12" s="248" t="s">
        <v>204</v>
      </c>
      <c r="H12" s="158" t="s">
        <v>205</v>
      </c>
      <c r="I12" s="283" t="s">
        <v>206</v>
      </c>
      <c r="J12" s="248" t="s">
        <v>207</v>
      </c>
      <c r="O12" s="282"/>
    </row>
    <row r="13" spans="1:15" s="158" customFormat="1" ht="17.25" thickBot="1" x14ac:dyDescent="0.35">
      <c r="A13" s="284" t="s">
        <v>207</v>
      </c>
      <c r="B13" s="249" t="s">
        <v>207</v>
      </c>
      <c r="C13" s="250" t="s">
        <v>208</v>
      </c>
      <c r="D13" s="249" t="s">
        <v>207</v>
      </c>
      <c r="E13" s="250" t="s">
        <v>209</v>
      </c>
      <c r="F13" s="249" t="s">
        <v>210</v>
      </c>
      <c r="G13" s="249" t="s">
        <v>210</v>
      </c>
      <c r="H13" s="250" t="s">
        <v>209</v>
      </c>
      <c r="I13" s="284" t="s">
        <v>211</v>
      </c>
      <c r="J13" s="249" t="s">
        <v>211</v>
      </c>
      <c r="O13" s="282"/>
    </row>
    <row r="14" spans="1:15" s="157" customFormat="1" x14ac:dyDescent="0.3">
      <c r="A14" s="285"/>
      <c r="B14" s="253"/>
      <c r="C14" s="155"/>
      <c r="D14" s="253"/>
      <c r="E14" s="155"/>
      <c r="F14" s="253"/>
      <c r="G14" s="253"/>
      <c r="H14" s="155"/>
      <c r="I14" s="285"/>
      <c r="J14" s="253"/>
      <c r="O14" s="286"/>
    </row>
    <row r="15" spans="1:15" s="157" customFormat="1" x14ac:dyDescent="0.3">
      <c r="A15" s="176"/>
      <c r="B15" s="287"/>
      <c r="C15" s="269"/>
      <c r="D15" s="254"/>
      <c r="E15" s="269"/>
      <c r="F15" s="256"/>
      <c r="G15" s="256">
        <f>+ROUND((F15*E15),0)</f>
        <v>0</v>
      </c>
      <c r="H15" s="270">
        <f>ROUND((+G15-F15),0)</f>
        <v>0</v>
      </c>
      <c r="I15" s="288">
        <f>+H15</f>
        <v>0</v>
      </c>
      <c r="J15" s="289"/>
    </row>
    <row r="16" spans="1:15" s="157" customFormat="1" x14ac:dyDescent="0.3">
      <c r="A16" s="285" t="s">
        <v>222</v>
      </c>
      <c r="B16" s="287">
        <v>42064</v>
      </c>
      <c r="C16" s="269">
        <f>G5</f>
        <v>2357.9</v>
      </c>
      <c r="D16" s="254">
        <f>VLOOKUP(B16,IPCINPC,2,)</f>
        <v>1000.2</v>
      </c>
      <c r="E16" s="269">
        <f>+C16/D16</f>
        <v>2.3574285142971405</v>
      </c>
      <c r="F16" s="256">
        <v>1000000</v>
      </c>
      <c r="G16" s="256">
        <f>+ROUND((F16*E16),0)</f>
        <v>2357429</v>
      </c>
      <c r="H16" s="270">
        <f>ROUND((+G16-F16),0)</f>
        <v>1357429</v>
      </c>
      <c r="I16" s="288">
        <f>+H16</f>
        <v>1357429</v>
      </c>
      <c r="J16" s="290"/>
    </row>
    <row r="17" spans="1:12" s="157" customFormat="1" x14ac:dyDescent="0.3">
      <c r="A17" s="176"/>
      <c r="B17" s="287"/>
      <c r="C17" s="269"/>
      <c r="D17" s="254"/>
      <c r="E17" s="269"/>
      <c r="F17" s="256"/>
      <c r="G17" s="256"/>
      <c r="H17" s="270"/>
      <c r="I17" s="288"/>
      <c r="J17" s="290"/>
    </row>
    <row r="18" spans="1:12" s="149" customFormat="1" x14ac:dyDescent="0.3">
      <c r="A18" s="291" t="s">
        <v>212</v>
      </c>
      <c r="B18" s="257"/>
      <c r="D18" s="257"/>
      <c r="E18" s="158"/>
      <c r="F18" s="292">
        <f>SUM(F15:F16)</f>
        <v>1000000</v>
      </c>
      <c r="G18" s="292">
        <f>SUM(G15:G16)</f>
        <v>2357429</v>
      </c>
      <c r="H18" s="293">
        <f>SUM(H15:H16)</f>
        <v>1357429</v>
      </c>
      <c r="I18" s="294">
        <f>SUM(I15:I16)</f>
        <v>1357429</v>
      </c>
      <c r="J18" s="295">
        <f>SUM(J15:J16)</f>
        <v>0</v>
      </c>
    </row>
    <row r="19" spans="1:12" ht="17.25" thickBot="1" x14ac:dyDescent="0.35">
      <c r="A19" s="296"/>
      <c r="B19" s="297"/>
      <c r="C19" s="298"/>
      <c r="D19" s="297"/>
      <c r="E19" s="298"/>
      <c r="F19" s="297"/>
      <c r="G19" s="297"/>
      <c r="H19" s="298"/>
      <c r="I19" s="296"/>
      <c r="J19" s="297"/>
      <c r="K19" s="157"/>
      <c r="L19" s="157"/>
    </row>
    <row r="20" spans="1:12" x14ac:dyDescent="0.3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</row>
    <row r="21" spans="1:12" x14ac:dyDescent="0.3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1:12" x14ac:dyDescent="0.3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</row>
    <row r="23" spans="1:12" x14ac:dyDescent="0.3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</row>
    <row r="24" spans="1:12" x14ac:dyDescent="0.3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</row>
    <row r="25" spans="1:12" x14ac:dyDescent="0.3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</row>
    <row r="26" spans="1:12" x14ac:dyDescent="0.3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</row>
    <row r="27" spans="1:12" x14ac:dyDescent="0.3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</row>
    <row r="28" spans="1:12" x14ac:dyDescent="0.3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</row>
    <row r="29" spans="1:12" x14ac:dyDescent="0.3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</row>
    <row r="30" spans="1:12" x14ac:dyDescent="0.3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12" x14ac:dyDescent="0.3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  <row r="32" spans="1:12" x14ac:dyDescent="0.3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</row>
    <row r="33" spans="1:12" x14ac:dyDescent="0.3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x14ac:dyDescent="0.3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12" x14ac:dyDescent="0.3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</row>
    <row r="36" spans="1:12" x14ac:dyDescent="0.3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2" x14ac:dyDescent="0.3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</row>
    <row r="38" spans="1:12" x14ac:dyDescent="0.3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</row>
    <row r="39" spans="1:12" x14ac:dyDescent="0.3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2" x14ac:dyDescent="0.3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</row>
    <row r="41" spans="1:12" x14ac:dyDescent="0.3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</row>
    <row r="42" spans="1:12" x14ac:dyDescent="0.3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</row>
    <row r="43" spans="1:12" x14ac:dyDescent="0.3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</row>
    <row r="44" spans="1:12" x14ac:dyDescent="0.3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</row>
    <row r="45" spans="1:12" x14ac:dyDescent="0.3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</row>
    <row r="46" spans="1:12" x14ac:dyDescent="0.3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</row>
    <row r="47" spans="1:12" x14ac:dyDescent="0.3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</row>
    <row r="48" spans="1:12" x14ac:dyDescent="0.3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</row>
    <row r="49" spans="1:12" x14ac:dyDescent="0.3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0" spans="1:12" x14ac:dyDescent="0.3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</row>
    <row r="51" spans="1:12" x14ac:dyDescent="0.3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</row>
    <row r="52" spans="1:12" x14ac:dyDescent="0.3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</row>
    <row r="53" spans="1:12" x14ac:dyDescent="0.3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</row>
    <row r="54" spans="1:12" x14ac:dyDescent="0.3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</row>
    <row r="55" spans="1:12" x14ac:dyDescent="0.3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</row>
    <row r="56" spans="1:12" x14ac:dyDescent="0.3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</row>
    <row r="57" spans="1:12" x14ac:dyDescent="0.3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</row>
    <row r="58" spans="1:12" x14ac:dyDescent="0.3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</row>
    <row r="59" spans="1:12" x14ac:dyDescent="0.3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</row>
    <row r="60" spans="1:12" x14ac:dyDescent="0.3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</row>
  </sheetData>
  <mergeCells count="2">
    <mergeCell ref="I9:J9"/>
    <mergeCell ref="I10:J10"/>
  </mergeCells>
  <phoneticPr fontId="0" type="noConversion"/>
  <pageMargins left="0.25" right="0.31" top="0.62" bottom="1" header="0" footer="0"/>
  <pageSetup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7" zoomScale="75" zoomScaleNormal="75" workbookViewId="0">
      <selection activeCell="M26" sqref="M26"/>
    </sheetView>
  </sheetViews>
  <sheetFormatPr baseColWidth="10" defaultRowHeight="16.5" x14ac:dyDescent="0.3"/>
  <cols>
    <col min="1" max="1" width="64.7109375" style="21" bestFit="1" customWidth="1"/>
    <col min="2" max="2" width="12.28515625" style="268" bestFit="1" customWidth="1"/>
    <col min="3" max="3" width="11" style="21" bestFit="1" customWidth="1"/>
    <col min="4" max="4" width="12.28515625" style="21" bestFit="1" customWidth="1"/>
    <col min="5" max="5" width="13.42578125" style="21" bestFit="1" customWidth="1"/>
    <col min="6" max="7" width="13.85546875" style="21" bestFit="1" customWidth="1"/>
    <col min="8" max="8" width="12" style="21" bestFit="1" customWidth="1"/>
    <col min="9" max="16384" width="11.42578125" style="21"/>
  </cols>
  <sheetData>
    <row r="1" spans="1:12" x14ac:dyDescent="0.3">
      <c r="A1" s="20" t="s">
        <v>80</v>
      </c>
    </row>
    <row r="2" spans="1:12" x14ac:dyDescent="0.3">
      <c r="A2" s="20" t="s">
        <v>81</v>
      </c>
    </row>
    <row r="3" spans="1:12" x14ac:dyDescent="0.3">
      <c r="A3" s="20" t="s">
        <v>64</v>
      </c>
      <c r="D3" s="21">
        <f>'CAPITAL SOCIAL'!E3</f>
        <v>0</v>
      </c>
      <c r="E3" s="21" t="str">
        <f>'CAPITAL SOCIAL'!F3</f>
        <v>CIERRE 2014</v>
      </c>
      <c r="F3" s="21" t="str">
        <f>'CAPITAL SOCIAL'!G3</f>
        <v>CIERRE 2015</v>
      </c>
    </row>
    <row r="4" spans="1:12" x14ac:dyDescent="0.3">
      <c r="A4" s="193" t="s">
        <v>120</v>
      </c>
      <c r="D4" s="21" t="str">
        <f>'CAPITAL SOCIAL'!E4</f>
        <v>IPC</v>
      </c>
      <c r="E4" s="21">
        <f>'CAPITAL SOCIAL'!F4</f>
        <v>826.4</v>
      </c>
      <c r="F4" s="21">
        <f>'CAPITAL SOCIAL'!G4</f>
        <v>2146.1</v>
      </c>
    </row>
    <row r="5" spans="1:12" x14ac:dyDescent="0.3">
      <c r="A5" s="80" t="s">
        <v>275</v>
      </c>
      <c r="D5" s="21" t="str">
        <f>'CAPITAL SOCIAL'!E5</f>
        <v>INPC</v>
      </c>
      <c r="E5" s="21">
        <f>'CAPITAL SOCIAL'!F5</f>
        <v>839.5</v>
      </c>
      <c r="F5" s="21">
        <f>'CAPITAL SOCIAL'!G5</f>
        <v>2357.9</v>
      </c>
    </row>
    <row r="6" spans="1:12" x14ac:dyDescent="0.3">
      <c r="A6" s="80" t="s">
        <v>276</v>
      </c>
    </row>
    <row r="8" spans="1:12" ht="12" customHeight="1" x14ac:dyDescent="0.3">
      <c r="A8" s="157"/>
      <c r="B8" s="155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x14ac:dyDescent="0.3">
      <c r="A9" s="157"/>
      <c r="B9" s="155"/>
      <c r="C9" s="157"/>
      <c r="D9" s="157"/>
      <c r="E9" s="157"/>
      <c r="F9" s="157"/>
      <c r="G9" s="157"/>
      <c r="H9" s="157"/>
      <c r="I9" s="157"/>
      <c r="J9" s="157"/>
      <c r="K9" s="157"/>
      <c r="L9" s="157"/>
    </row>
    <row r="10" spans="1:12" ht="17.25" thickBot="1" x14ac:dyDescent="0.35">
      <c r="A10" s="163" t="s">
        <v>121</v>
      </c>
      <c r="B10" s="163" t="s">
        <v>122</v>
      </c>
      <c r="C10" s="163" t="s">
        <v>123</v>
      </c>
      <c r="D10" s="163" t="s">
        <v>124</v>
      </c>
      <c r="E10" s="163" t="s">
        <v>125</v>
      </c>
      <c r="F10" s="163" t="s">
        <v>126</v>
      </c>
      <c r="G10" s="163" t="s">
        <v>127</v>
      </c>
      <c r="H10" s="245" t="s">
        <v>128</v>
      </c>
    </row>
    <row r="11" spans="1:12" s="149" customFormat="1" x14ac:dyDescent="0.3">
      <c r="A11" s="246" t="s">
        <v>186</v>
      </c>
      <c r="B11" s="247" t="s">
        <v>187</v>
      </c>
      <c r="C11" s="246" t="s">
        <v>280</v>
      </c>
      <c r="D11" s="247" t="s">
        <v>296</v>
      </c>
      <c r="E11" s="246" t="s">
        <v>188</v>
      </c>
      <c r="F11" s="247" t="s">
        <v>189</v>
      </c>
      <c r="G11" s="246" t="s">
        <v>190</v>
      </c>
      <c r="H11" s="246" t="s">
        <v>191</v>
      </c>
    </row>
    <row r="12" spans="1:12" s="149" customFormat="1" x14ac:dyDescent="0.3">
      <c r="A12" s="248" t="s">
        <v>193</v>
      </c>
      <c r="B12" s="158" t="s">
        <v>194</v>
      </c>
      <c r="C12" s="248" t="s">
        <v>195</v>
      </c>
      <c r="D12" s="158" t="s">
        <v>194</v>
      </c>
      <c r="E12" s="248" t="s">
        <v>196</v>
      </c>
      <c r="F12" s="158" t="s">
        <v>197</v>
      </c>
      <c r="G12" s="248" t="s">
        <v>198</v>
      </c>
      <c r="H12" s="248" t="s">
        <v>199</v>
      </c>
    </row>
    <row r="13" spans="1:12" s="158" customFormat="1" x14ac:dyDescent="0.3">
      <c r="A13" s="248" t="s">
        <v>200</v>
      </c>
      <c r="B13" s="158" t="s">
        <v>201</v>
      </c>
      <c r="C13" s="248" t="s">
        <v>202</v>
      </c>
      <c r="D13" s="158" t="s">
        <v>200</v>
      </c>
      <c r="E13" s="248" t="s">
        <v>203</v>
      </c>
      <c r="F13" s="158" t="s">
        <v>204</v>
      </c>
      <c r="G13" s="248" t="s">
        <v>204</v>
      </c>
      <c r="H13" s="248" t="s">
        <v>205</v>
      </c>
    </row>
    <row r="14" spans="1:12" s="158" customFormat="1" ht="17.25" thickBot="1" x14ac:dyDescent="0.35">
      <c r="A14" s="249" t="s">
        <v>207</v>
      </c>
      <c r="B14" s="250" t="s">
        <v>207</v>
      </c>
      <c r="C14" s="249" t="s">
        <v>208</v>
      </c>
      <c r="D14" s="250" t="s">
        <v>207</v>
      </c>
      <c r="E14" s="249" t="s">
        <v>209</v>
      </c>
      <c r="F14" s="250" t="s">
        <v>210</v>
      </c>
      <c r="G14" s="249" t="s">
        <v>210</v>
      </c>
      <c r="H14" s="249" t="s">
        <v>209</v>
      </c>
    </row>
    <row r="15" spans="1:12" s="252" customFormat="1" x14ac:dyDescent="0.3">
      <c r="A15" s="246"/>
      <c r="B15" s="272"/>
      <c r="C15" s="248"/>
      <c r="D15" s="246"/>
      <c r="E15" s="248"/>
      <c r="F15" s="158"/>
      <c r="G15" s="248"/>
      <c r="H15" s="251"/>
    </row>
    <row r="16" spans="1:12" x14ac:dyDescent="0.3">
      <c r="A16" s="253" t="s">
        <v>220</v>
      </c>
      <c r="B16" s="271">
        <v>42005</v>
      </c>
      <c r="C16" s="254">
        <f>$F$4</f>
        <v>2146.1</v>
      </c>
      <c r="D16" s="254">
        <f>VLOOKUP(B16,IPCINPC,2,)</f>
        <v>904.8</v>
      </c>
      <c r="E16" s="254">
        <f>+C16/D16</f>
        <v>2.3719053934571175</v>
      </c>
      <c r="F16" s="255">
        <v>15000</v>
      </c>
      <c r="G16" s="256">
        <f>+F16*E16</f>
        <v>35578.58090185676</v>
      </c>
      <c r="H16" s="256">
        <f>+G16-F16</f>
        <v>20578.58090185676</v>
      </c>
    </row>
    <row r="17" spans="1:9" x14ac:dyDescent="0.3">
      <c r="A17" s="253" t="s">
        <v>220</v>
      </c>
      <c r="B17" s="271">
        <v>42036</v>
      </c>
      <c r="C17" s="254">
        <f t="shared" ref="C17:C26" si="0">$F$4</f>
        <v>2146.1</v>
      </c>
      <c r="D17" s="254">
        <f>VLOOKUP(B17,IPCINPC,2,)</f>
        <v>949.1</v>
      </c>
      <c r="E17" s="254">
        <f t="shared" ref="E17:E31" si="1">+C17/D17</f>
        <v>2.2611948161416078</v>
      </c>
      <c r="F17" s="255">
        <v>-16000</v>
      </c>
      <c r="G17" s="256">
        <f t="shared" ref="G17:G26" si="2">+F17*E17</f>
        <v>-36179.117058265721</v>
      </c>
      <c r="H17" s="256">
        <f t="shared" ref="H17:H26" si="3">+G17-F17</f>
        <v>-20179.117058265721</v>
      </c>
    </row>
    <row r="18" spans="1:9" x14ac:dyDescent="0.3">
      <c r="A18" s="253" t="s">
        <v>220</v>
      </c>
      <c r="B18" s="271">
        <v>42095</v>
      </c>
      <c r="C18" s="254">
        <f t="shared" si="0"/>
        <v>2146.1</v>
      </c>
      <c r="D18" s="254">
        <f>VLOOKUP(B18,IPCINPC,2,)</f>
        <v>1063.8</v>
      </c>
      <c r="E18" s="254">
        <f t="shared" si="1"/>
        <v>2.0173904869336341</v>
      </c>
      <c r="F18" s="255">
        <v>5000</v>
      </c>
      <c r="G18" s="256">
        <f t="shared" si="2"/>
        <v>10086.95243466817</v>
      </c>
      <c r="H18" s="256">
        <f t="shared" si="3"/>
        <v>5086.9524346681701</v>
      </c>
    </row>
    <row r="19" spans="1:9" x14ac:dyDescent="0.3">
      <c r="A19" s="253" t="s">
        <v>220</v>
      </c>
      <c r="B19" s="271">
        <v>42125</v>
      </c>
      <c r="C19" s="254">
        <f t="shared" si="0"/>
        <v>2146.1</v>
      </c>
      <c r="D19" s="254">
        <f>VLOOKUP(B19,IPCINPC,2,)</f>
        <v>1148.8</v>
      </c>
      <c r="E19" s="254">
        <f t="shared" si="1"/>
        <v>1.8681232590529249</v>
      </c>
      <c r="F19" s="255">
        <v>5000</v>
      </c>
      <c r="G19" s="256">
        <f t="shared" si="2"/>
        <v>9340.6162952646246</v>
      </c>
      <c r="H19" s="256">
        <f t="shared" si="3"/>
        <v>4340.6162952646246</v>
      </c>
    </row>
    <row r="20" spans="1:9" x14ac:dyDescent="0.3">
      <c r="A20" s="253" t="s">
        <v>220</v>
      </c>
      <c r="B20" s="271">
        <v>42156</v>
      </c>
      <c r="C20" s="254">
        <f t="shared" si="0"/>
        <v>2146.1</v>
      </c>
      <c r="D20" s="254">
        <f>VLOOKUP(B20,IPCINPC,2,)</f>
        <v>1261.5999999999999</v>
      </c>
      <c r="E20" s="254">
        <f t="shared" si="1"/>
        <v>1.7010938490805327</v>
      </c>
      <c r="F20" s="255">
        <v>-25000</v>
      </c>
      <c r="G20" s="256">
        <f t="shared" si="2"/>
        <v>-42527.346227013317</v>
      </c>
      <c r="H20" s="256">
        <f t="shared" si="3"/>
        <v>-17527.346227013317</v>
      </c>
    </row>
    <row r="21" spans="1:9" x14ac:dyDescent="0.3">
      <c r="A21" s="253" t="s">
        <v>220</v>
      </c>
      <c r="B21" s="271">
        <v>42186</v>
      </c>
      <c r="C21" s="254">
        <f t="shared" si="0"/>
        <v>2146.1</v>
      </c>
      <c r="D21" s="254">
        <f>VLOOKUP(B21,IPCINPC,2,)</f>
        <v>1397.5</v>
      </c>
      <c r="E21" s="254">
        <f t="shared" si="1"/>
        <v>1.5356708407871198</v>
      </c>
      <c r="F21" s="255">
        <v>-50000</v>
      </c>
      <c r="G21" s="256">
        <f t="shared" si="2"/>
        <v>-76783.542039355991</v>
      </c>
      <c r="H21" s="256">
        <f t="shared" si="3"/>
        <v>-26783.542039355991</v>
      </c>
    </row>
    <row r="22" spans="1:9" x14ac:dyDescent="0.3">
      <c r="A22" s="253" t="s">
        <v>220</v>
      </c>
      <c r="B22" s="271">
        <v>42217</v>
      </c>
      <c r="C22" s="254">
        <f t="shared" si="0"/>
        <v>2146.1</v>
      </c>
      <c r="D22" s="254">
        <f>VLOOKUP(B22,IPCINPC,2,)</f>
        <v>1570.8</v>
      </c>
      <c r="E22" s="254">
        <f t="shared" si="1"/>
        <v>1.3662464985994398</v>
      </c>
      <c r="F22" s="255">
        <v>14000</v>
      </c>
      <c r="G22" s="256">
        <f t="shared" si="2"/>
        <v>19127.450980392157</v>
      </c>
      <c r="H22" s="256">
        <f t="shared" si="3"/>
        <v>5127.4509803921574</v>
      </c>
    </row>
    <row r="23" spans="1:9" s="157" customFormat="1" x14ac:dyDescent="0.3">
      <c r="A23" s="253" t="s">
        <v>220</v>
      </c>
      <c r="B23" s="271">
        <v>42248</v>
      </c>
      <c r="C23" s="254">
        <f t="shared" si="0"/>
        <v>2146.1</v>
      </c>
      <c r="D23" s="254">
        <f>VLOOKUP(B23,IPCINPC,2,)</f>
        <v>1752.1</v>
      </c>
      <c r="E23" s="254">
        <f t="shared" si="1"/>
        <v>1.2248730095314195</v>
      </c>
      <c r="F23" s="270">
        <v>-10000</v>
      </c>
      <c r="G23" s="256">
        <f t="shared" si="2"/>
        <v>-12248.730095314195</v>
      </c>
      <c r="H23" s="256">
        <f t="shared" si="3"/>
        <v>-2248.7300953141948</v>
      </c>
    </row>
    <row r="24" spans="1:9" x14ac:dyDescent="0.3">
      <c r="A24" s="253" t="s">
        <v>220</v>
      </c>
      <c r="B24" s="271">
        <v>42278</v>
      </c>
      <c r="C24" s="254">
        <f t="shared" si="0"/>
        <v>2146.1</v>
      </c>
      <c r="D24" s="254">
        <f>VLOOKUP(B24,IPCINPC,2,)</f>
        <v>1951.3</v>
      </c>
      <c r="E24" s="254">
        <f t="shared" si="1"/>
        <v>1.0998308819761184</v>
      </c>
      <c r="F24" s="270">
        <v>18000</v>
      </c>
      <c r="G24" s="256">
        <f t="shared" si="2"/>
        <v>19796.955875570133</v>
      </c>
      <c r="H24" s="256">
        <f t="shared" si="3"/>
        <v>1796.9558755701328</v>
      </c>
    </row>
    <row r="25" spans="1:9" s="267" customFormat="1" x14ac:dyDescent="0.3">
      <c r="A25" s="253" t="s">
        <v>220</v>
      </c>
      <c r="B25" s="271">
        <v>42309</v>
      </c>
      <c r="C25" s="254">
        <f t="shared" si="0"/>
        <v>2146.1</v>
      </c>
      <c r="D25" s="254">
        <f>VLOOKUP(B25,IPCINPC,2,)</f>
        <v>2168.5</v>
      </c>
      <c r="E25" s="254">
        <f t="shared" si="1"/>
        <v>0.98967027899469673</v>
      </c>
      <c r="F25" s="270">
        <v>10000</v>
      </c>
      <c r="G25" s="256">
        <f t="shared" si="2"/>
        <v>9896.7027899469667</v>
      </c>
      <c r="H25" s="256">
        <f t="shared" si="3"/>
        <v>-103.29721005303327</v>
      </c>
    </row>
    <row r="26" spans="1:9" s="267" customFormat="1" ht="17.25" thickBot="1" x14ac:dyDescent="0.35">
      <c r="A26" s="258" t="s">
        <v>220</v>
      </c>
      <c r="B26" s="279">
        <v>42339</v>
      </c>
      <c r="C26" s="259">
        <f t="shared" si="0"/>
        <v>2146.1</v>
      </c>
      <c r="D26" s="259">
        <f>VLOOKUP(B26,IPCINPC,2,)</f>
        <v>2357.9</v>
      </c>
      <c r="E26" s="259">
        <f t="shared" si="1"/>
        <v>0.91017430764663465</v>
      </c>
      <c r="F26" s="260">
        <v>9000</v>
      </c>
      <c r="G26" s="261">
        <f t="shared" si="2"/>
        <v>8191.5687688197122</v>
      </c>
      <c r="H26" s="261">
        <f t="shared" si="3"/>
        <v>-808.4312311802878</v>
      </c>
    </row>
    <row r="27" spans="1:9" s="278" customFormat="1" ht="17.25" thickBot="1" x14ac:dyDescent="0.35">
      <c r="A27" s="273"/>
      <c r="B27" s="274"/>
      <c r="C27" s="275"/>
      <c r="D27" s="276"/>
      <c r="E27" s="275" t="s">
        <v>231</v>
      </c>
      <c r="F27" s="277">
        <f>SUM(F16:F26)</f>
        <v>-25000</v>
      </c>
      <c r="G27" s="277">
        <f>SUM(G16:G26)</f>
        <v>-55719.907373430709</v>
      </c>
      <c r="H27" s="277">
        <f>SUM(H16:H26)</f>
        <v>-30719.907373430702</v>
      </c>
    </row>
    <row r="28" spans="1:9" s="267" customFormat="1" x14ac:dyDescent="0.3">
      <c r="A28" s="308" t="s">
        <v>112</v>
      </c>
      <c r="B28" s="309">
        <v>42064</v>
      </c>
      <c r="C28" s="310">
        <f t="shared" ref="C28:C34" si="4">$F$4</f>
        <v>2146.1</v>
      </c>
      <c r="D28" s="310">
        <f>VLOOKUP(B28,IPCINPC,2,)</f>
        <v>1000.2</v>
      </c>
      <c r="E28" s="310">
        <f t="shared" si="1"/>
        <v>2.1456708658268346</v>
      </c>
      <c r="F28" s="311">
        <v>-5000</v>
      </c>
      <c r="G28" s="311">
        <f>+F28*E28</f>
        <v>-10728.354329134174</v>
      </c>
      <c r="H28" s="311">
        <f>+G28-F28</f>
        <v>-5728.3543291341739</v>
      </c>
    </row>
    <row r="29" spans="1:9" s="267" customFormat="1" x14ac:dyDescent="0.3">
      <c r="A29" s="312"/>
      <c r="B29" s="271">
        <v>42125</v>
      </c>
      <c r="C29" s="254">
        <f t="shared" si="4"/>
        <v>2146.1</v>
      </c>
      <c r="D29" s="254">
        <f>VLOOKUP(B29,IPCINPC,2,)</f>
        <v>1148.8</v>
      </c>
      <c r="E29" s="254">
        <f t="shared" si="1"/>
        <v>1.8681232590529249</v>
      </c>
      <c r="F29" s="256">
        <v>-5000</v>
      </c>
      <c r="G29" s="256">
        <f>+F29*E29</f>
        <v>-9340.6162952646246</v>
      </c>
      <c r="H29" s="256">
        <f>+G29-F29</f>
        <v>-4340.6162952646246</v>
      </c>
    </row>
    <row r="30" spans="1:9" s="267" customFormat="1" x14ac:dyDescent="0.3">
      <c r="A30" s="312"/>
      <c r="B30" s="271">
        <v>42186</v>
      </c>
      <c r="C30" s="254">
        <f t="shared" si="4"/>
        <v>2146.1</v>
      </c>
      <c r="D30" s="254">
        <f>VLOOKUP(B30,IPCINPC,2,)</f>
        <v>1397.5</v>
      </c>
      <c r="E30" s="254">
        <f t="shared" si="1"/>
        <v>1.5356708407871198</v>
      </c>
      <c r="F30" s="256">
        <v>10000</v>
      </c>
      <c r="G30" s="256">
        <f>+F30*E30</f>
        <v>15356.708407871198</v>
      </c>
      <c r="H30" s="256">
        <f>+G30-F30</f>
        <v>5356.7084078711978</v>
      </c>
    </row>
    <row r="31" spans="1:9" s="267" customFormat="1" ht="17.25" thickBot="1" x14ac:dyDescent="0.35">
      <c r="A31" s="313"/>
      <c r="B31" s="279">
        <v>42248</v>
      </c>
      <c r="C31" s="259">
        <f t="shared" si="4"/>
        <v>2146.1</v>
      </c>
      <c r="D31" s="259">
        <f>VLOOKUP(B31,IPCINPC,2,)</f>
        <v>1752.1</v>
      </c>
      <c r="E31" s="259">
        <f t="shared" si="1"/>
        <v>1.2248730095314195</v>
      </c>
      <c r="F31" s="261">
        <v>-10000</v>
      </c>
      <c r="G31" s="261">
        <f>+F31*E31</f>
        <v>-12248.730095314195</v>
      </c>
      <c r="H31" s="261">
        <f>+G31-F31</f>
        <v>-2248.7300953141948</v>
      </c>
    </row>
    <row r="32" spans="1:9" s="267" customFormat="1" x14ac:dyDescent="0.3">
      <c r="A32" s="262"/>
      <c r="B32" s="271"/>
      <c r="C32" s="269"/>
      <c r="D32" s="269"/>
      <c r="E32" s="315"/>
      <c r="F32" s="314">
        <f>SUM(F28:F31)</f>
        <v>-10000</v>
      </c>
      <c r="G32" s="314">
        <f>SUM(G28:G31)</f>
        <v>-16960.992311841794</v>
      </c>
      <c r="H32" s="314">
        <f>SUM(H28:H31)</f>
        <v>-6960.9923118417955</v>
      </c>
      <c r="I32" s="278"/>
    </row>
    <row r="33" spans="1:12" s="267" customFormat="1" ht="17.25" thickBot="1" x14ac:dyDescent="0.35">
      <c r="A33" s="262"/>
      <c r="B33" s="271"/>
      <c r="C33" s="269"/>
      <c r="D33" s="269"/>
      <c r="E33" s="315"/>
      <c r="F33" s="314"/>
      <c r="G33" s="314"/>
      <c r="H33" s="314"/>
      <c r="I33" s="278"/>
    </row>
    <row r="34" spans="1:12" s="267" customFormat="1" ht="17.25" thickBot="1" x14ac:dyDescent="0.35">
      <c r="A34" s="446" t="s">
        <v>291</v>
      </c>
      <c r="B34" s="447">
        <v>42064</v>
      </c>
      <c r="C34" s="448">
        <f t="shared" si="4"/>
        <v>2146.1</v>
      </c>
      <c r="D34" s="448">
        <f>VLOOKUP(B34,IPCINPC,2,)</f>
        <v>1000.2</v>
      </c>
      <c r="E34" s="448">
        <f t="shared" ref="E34" si="5">+C34/D34</f>
        <v>2.1456708658268346</v>
      </c>
      <c r="F34" s="449">
        <v>-100000</v>
      </c>
      <c r="G34" s="449">
        <f>+F34*E34</f>
        <v>-214567.08658268346</v>
      </c>
      <c r="H34" s="449">
        <f>+G34-F34</f>
        <v>-114567.08658268346</v>
      </c>
      <c r="I34" s="278"/>
    </row>
    <row r="35" spans="1:12" s="267" customFormat="1" x14ac:dyDescent="0.3">
      <c r="A35" s="262"/>
      <c r="B35" s="271"/>
      <c r="C35" s="269"/>
      <c r="D35" s="269"/>
      <c r="E35" s="315"/>
      <c r="F35" s="316">
        <f>SUM(F34)</f>
        <v>-100000</v>
      </c>
      <c r="G35" s="316">
        <f>SUM(G34)</f>
        <v>-214567.08658268346</v>
      </c>
      <c r="H35" s="316">
        <f>SUM(H34)</f>
        <v>-114567.08658268346</v>
      </c>
      <c r="I35" s="278"/>
    </row>
    <row r="36" spans="1:12" s="267" customFormat="1" x14ac:dyDescent="0.3">
      <c r="A36" s="262"/>
      <c r="B36" s="271"/>
      <c r="C36" s="269"/>
      <c r="D36" s="269"/>
      <c r="E36" s="315"/>
      <c r="F36" s="314"/>
      <c r="G36" s="316"/>
      <c r="H36" s="316"/>
      <c r="I36" s="278"/>
    </row>
    <row r="37" spans="1:12" s="267" customFormat="1" x14ac:dyDescent="0.3">
      <c r="A37" s="262"/>
      <c r="B37" s="263"/>
      <c r="C37" s="264"/>
      <c r="D37" s="265"/>
      <c r="E37" s="275" t="s">
        <v>231</v>
      </c>
      <c r="F37" s="314">
        <f>+F27+F32+F35</f>
        <v>-135000</v>
      </c>
      <c r="G37" s="314">
        <f>+G27+G32+G35</f>
        <v>-287247.98626795597</v>
      </c>
      <c r="H37" s="314">
        <f>+H27+H32+H35</f>
        <v>-152247.98626795597</v>
      </c>
      <c r="I37" s="278"/>
    </row>
    <row r="38" spans="1:12" s="267" customFormat="1" x14ac:dyDescent="0.3">
      <c r="A38" s="262"/>
      <c r="B38" s="263"/>
      <c r="C38" s="264"/>
      <c r="D38" s="265"/>
      <c r="E38" s="264"/>
      <c r="F38" s="266"/>
      <c r="G38" s="266"/>
      <c r="H38" s="266"/>
    </row>
    <row r="39" spans="1:12" x14ac:dyDescent="0.3">
      <c r="A39" s="157"/>
      <c r="B39" s="155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2" x14ac:dyDescent="0.3">
      <c r="A40" s="157"/>
      <c r="B40" s="155"/>
      <c r="C40" s="157"/>
      <c r="D40" s="157"/>
      <c r="E40" s="157"/>
      <c r="F40" s="157"/>
      <c r="G40" s="157"/>
      <c r="H40" s="157"/>
      <c r="I40" s="157"/>
      <c r="J40" s="157"/>
      <c r="K40" s="157"/>
      <c r="L40" s="157"/>
    </row>
    <row r="41" spans="1:12" x14ac:dyDescent="0.3">
      <c r="A41" s="157"/>
      <c r="B41" s="155"/>
      <c r="C41" s="157"/>
      <c r="D41" s="157"/>
      <c r="E41" s="157"/>
      <c r="F41" s="157"/>
      <c r="G41" s="157"/>
      <c r="H41" s="157"/>
      <c r="I41" s="157"/>
      <c r="J41" s="157"/>
      <c r="K41" s="157"/>
      <c r="L41" s="157"/>
    </row>
    <row r="42" spans="1:12" x14ac:dyDescent="0.3">
      <c r="A42" s="157"/>
      <c r="B42" s="155"/>
      <c r="C42" s="157"/>
      <c r="D42" s="157"/>
      <c r="E42" s="157"/>
      <c r="F42" s="157"/>
      <c r="G42" s="157"/>
      <c r="H42" s="157"/>
      <c r="I42" s="157"/>
      <c r="J42" s="157"/>
      <c r="K42" s="157"/>
      <c r="L42" s="157"/>
    </row>
    <row r="43" spans="1:12" x14ac:dyDescent="0.3">
      <c r="A43" s="157"/>
      <c r="B43" s="155"/>
      <c r="C43" s="157"/>
      <c r="D43" s="157"/>
      <c r="E43" s="157"/>
      <c r="F43" s="157"/>
      <c r="G43" s="157"/>
      <c r="H43" s="157"/>
      <c r="I43" s="157"/>
      <c r="J43" s="157"/>
      <c r="K43" s="157"/>
      <c r="L43" s="157"/>
    </row>
    <row r="44" spans="1:12" x14ac:dyDescent="0.3">
      <c r="A44" s="157"/>
      <c r="B44" s="155"/>
      <c r="C44" s="157"/>
      <c r="D44" s="157"/>
      <c r="E44" s="157"/>
      <c r="F44" s="157"/>
      <c r="G44" s="157"/>
      <c r="H44" s="157"/>
      <c r="I44" s="157"/>
      <c r="J44" s="157"/>
      <c r="K44" s="157"/>
      <c r="L44" s="157"/>
    </row>
    <row r="45" spans="1:12" x14ac:dyDescent="0.3">
      <c r="A45" s="157"/>
      <c r="B45" s="155"/>
      <c r="C45" s="157"/>
      <c r="D45" s="157"/>
      <c r="E45" s="157"/>
      <c r="F45" s="157"/>
      <c r="G45" s="157"/>
      <c r="H45" s="157"/>
      <c r="I45" s="157"/>
      <c r="J45" s="157"/>
      <c r="K45" s="157"/>
      <c r="L45" s="157"/>
    </row>
    <row r="46" spans="1:12" x14ac:dyDescent="0.3">
      <c r="A46" s="157"/>
      <c r="B46" s="155"/>
      <c r="C46" s="157"/>
      <c r="D46" s="157"/>
      <c r="E46" s="157"/>
      <c r="F46" s="157"/>
      <c r="G46" s="157"/>
      <c r="H46" s="157"/>
      <c r="I46" s="157"/>
      <c r="J46" s="157"/>
      <c r="K46" s="157"/>
      <c r="L46" s="157"/>
    </row>
    <row r="47" spans="1:12" x14ac:dyDescent="0.3">
      <c r="A47" s="157"/>
      <c r="B47" s="155"/>
      <c r="C47" s="157"/>
      <c r="D47" s="157"/>
      <c r="E47" s="157"/>
      <c r="F47" s="157"/>
      <c r="G47" s="157"/>
      <c r="H47" s="157"/>
      <c r="I47" s="157"/>
      <c r="J47" s="157"/>
      <c r="K47" s="157"/>
      <c r="L47" s="157"/>
    </row>
    <row r="48" spans="1:12" x14ac:dyDescent="0.3">
      <c r="A48" s="157"/>
      <c r="B48" s="155"/>
      <c r="C48" s="157"/>
      <c r="D48" s="157"/>
      <c r="E48" s="157"/>
      <c r="F48" s="157"/>
      <c r="G48" s="157"/>
      <c r="H48" s="157"/>
      <c r="I48" s="157"/>
      <c r="J48" s="157"/>
      <c r="K48" s="157"/>
      <c r="L48" s="157"/>
    </row>
    <row r="49" spans="1:12" x14ac:dyDescent="0.3">
      <c r="A49" s="157"/>
      <c r="B49" s="155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0" spans="1:12" x14ac:dyDescent="0.3">
      <c r="A50" s="157"/>
      <c r="B50" s="155"/>
      <c r="C50" s="157"/>
      <c r="D50" s="157"/>
      <c r="E50" s="157"/>
      <c r="F50" s="157"/>
      <c r="G50" s="157"/>
      <c r="H50" s="157"/>
      <c r="I50" s="157"/>
      <c r="J50" s="157"/>
      <c r="K50" s="157"/>
      <c r="L50" s="157"/>
    </row>
    <row r="51" spans="1:12" x14ac:dyDescent="0.3">
      <c r="A51" s="157"/>
      <c r="B51" s="155"/>
      <c r="C51" s="157"/>
      <c r="D51" s="157"/>
      <c r="E51" s="157"/>
      <c r="F51" s="157"/>
      <c r="G51" s="157"/>
      <c r="H51" s="157"/>
      <c r="I51" s="157"/>
      <c r="J51" s="157"/>
      <c r="K51" s="157"/>
      <c r="L51" s="157"/>
    </row>
    <row r="52" spans="1:12" x14ac:dyDescent="0.3">
      <c r="A52" s="157"/>
      <c r="B52" s="155"/>
      <c r="C52" s="157"/>
      <c r="D52" s="157"/>
      <c r="E52" s="157"/>
      <c r="F52" s="157"/>
      <c r="G52" s="157"/>
      <c r="H52" s="157"/>
      <c r="I52" s="157"/>
      <c r="J52" s="157"/>
      <c r="K52" s="157"/>
      <c r="L52" s="157"/>
    </row>
    <row r="53" spans="1:12" x14ac:dyDescent="0.3">
      <c r="A53" s="157"/>
      <c r="B53" s="155"/>
      <c r="C53" s="157"/>
      <c r="D53" s="157"/>
      <c r="E53" s="157"/>
      <c r="F53" s="157"/>
      <c r="G53" s="157"/>
      <c r="H53" s="157"/>
      <c r="I53" s="157"/>
      <c r="J53" s="157"/>
      <c r="K53" s="157"/>
      <c r="L53" s="157"/>
    </row>
    <row r="54" spans="1:12" x14ac:dyDescent="0.3">
      <c r="A54" s="157"/>
      <c r="B54" s="155"/>
      <c r="C54" s="157"/>
      <c r="D54" s="157"/>
      <c r="E54" s="157"/>
      <c r="F54" s="157"/>
      <c r="G54" s="157"/>
      <c r="H54" s="157"/>
      <c r="I54" s="157"/>
      <c r="J54" s="157"/>
      <c r="K54" s="157"/>
      <c r="L54" s="157"/>
    </row>
    <row r="55" spans="1:12" x14ac:dyDescent="0.3">
      <c r="A55" s="157"/>
      <c r="B55" s="155"/>
      <c r="C55" s="157"/>
      <c r="D55" s="157"/>
      <c r="E55" s="157"/>
      <c r="F55" s="157"/>
      <c r="G55" s="157"/>
      <c r="H55" s="157"/>
      <c r="I55" s="157"/>
      <c r="J55" s="157"/>
      <c r="K55" s="157"/>
      <c r="L55" s="157"/>
    </row>
    <row r="56" spans="1:12" x14ac:dyDescent="0.3">
      <c r="A56" s="157"/>
      <c r="B56" s="155"/>
      <c r="C56" s="157"/>
      <c r="D56" s="157"/>
      <c r="E56" s="157"/>
      <c r="F56" s="157"/>
      <c r="G56" s="157"/>
      <c r="H56" s="157"/>
      <c r="I56" s="157"/>
      <c r="J56" s="157"/>
      <c r="K56" s="157"/>
      <c r="L56" s="157"/>
    </row>
    <row r="57" spans="1:12" x14ac:dyDescent="0.3">
      <c r="A57" s="157"/>
      <c r="B57" s="155"/>
      <c r="C57" s="157"/>
      <c r="D57" s="157"/>
      <c r="E57" s="157"/>
      <c r="F57" s="157"/>
      <c r="G57" s="157"/>
      <c r="H57" s="157"/>
      <c r="I57" s="157"/>
      <c r="J57" s="157"/>
      <c r="K57" s="157"/>
      <c r="L57" s="157"/>
    </row>
    <row r="58" spans="1:12" x14ac:dyDescent="0.3">
      <c r="A58" s="157"/>
      <c r="B58" s="155"/>
      <c r="C58" s="157"/>
      <c r="D58" s="157"/>
      <c r="E58" s="157"/>
      <c r="F58" s="157"/>
      <c r="G58" s="157"/>
      <c r="H58" s="157"/>
      <c r="I58" s="157"/>
      <c r="J58" s="157"/>
      <c r="K58" s="157"/>
      <c r="L58" s="157"/>
    </row>
    <row r="59" spans="1:12" x14ac:dyDescent="0.3">
      <c r="A59" s="157"/>
      <c r="B59" s="155"/>
      <c r="C59" s="157"/>
      <c r="D59" s="157"/>
      <c r="E59" s="157"/>
      <c r="F59" s="157"/>
      <c r="G59" s="157"/>
      <c r="H59" s="157"/>
      <c r="I59" s="157"/>
      <c r="J59" s="157"/>
      <c r="K59" s="157"/>
      <c r="L59" s="157"/>
    </row>
    <row r="60" spans="1:12" x14ac:dyDescent="0.3">
      <c r="A60" s="157"/>
      <c r="B60" s="155"/>
      <c r="C60" s="157"/>
      <c r="D60" s="157"/>
      <c r="E60" s="157"/>
      <c r="F60" s="157"/>
      <c r="G60" s="157"/>
      <c r="H60" s="157"/>
      <c r="I60" s="157"/>
      <c r="J60" s="157"/>
      <c r="K60" s="157"/>
      <c r="L60" s="157"/>
    </row>
    <row r="61" spans="1:12" x14ac:dyDescent="0.3">
      <c r="A61" s="157"/>
      <c r="B61" s="155"/>
      <c r="C61" s="157"/>
      <c r="D61" s="157"/>
      <c r="E61" s="157"/>
      <c r="F61" s="157"/>
      <c r="G61" s="157"/>
      <c r="H61" s="157"/>
      <c r="I61" s="157"/>
      <c r="J61" s="157"/>
      <c r="K61" s="157"/>
      <c r="L61" s="157"/>
    </row>
    <row r="62" spans="1:12" x14ac:dyDescent="0.3">
      <c r="A62" s="157"/>
      <c r="B62" s="155"/>
      <c r="C62" s="157"/>
      <c r="D62" s="157"/>
      <c r="E62" s="157"/>
      <c r="F62" s="157"/>
      <c r="G62" s="157"/>
      <c r="H62" s="157"/>
      <c r="I62" s="157"/>
      <c r="J62" s="157"/>
      <c r="K62" s="157"/>
      <c r="L62" s="157"/>
    </row>
  </sheetData>
  <phoneticPr fontId="0" type="noConversion"/>
  <pageMargins left="0.25" right="0.31" top="0.24" bottom="0.56000000000000005" header="0" footer="0"/>
  <pageSetup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7" zoomScaleNormal="100" workbookViewId="0">
      <selection activeCell="H47" sqref="H47"/>
    </sheetView>
  </sheetViews>
  <sheetFormatPr baseColWidth="10" defaultRowHeight="12.75" x14ac:dyDescent="0.2"/>
  <cols>
    <col min="4" max="4" width="18.42578125" customWidth="1"/>
    <col min="5" max="5" width="12" bestFit="1" customWidth="1"/>
    <col min="6" max="6" width="11.85546875" bestFit="1" customWidth="1"/>
    <col min="7" max="7" width="4" customWidth="1"/>
    <col min="8" max="8" width="12.28515625" bestFit="1" customWidth="1"/>
    <col min="10" max="10" width="13" customWidth="1"/>
    <col min="11" max="11" width="11.5703125" bestFit="1" customWidth="1"/>
    <col min="12" max="13" width="12.28515625" bestFit="1" customWidth="1"/>
  </cols>
  <sheetData>
    <row r="1" spans="1:13" x14ac:dyDescent="0.2">
      <c r="A1" s="1" t="s">
        <v>80</v>
      </c>
      <c r="H1" s="1"/>
    </row>
    <row r="2" spans="1:13" x14ac:dyDescent="0.2">
      <c r="A2" s="1" t="s">
        <v>277</v>
      </c>
      <c r="H2" s="1"/>
    </row>
    <row r="3" spans="1:13" x14ac:dyDescent="0.2">
      <c r="A3" s="1" t="s">
        <v>107</v>
      </c>
      <c r="H3" s="1"/>
    </row>
    <row r="7" spans="1:13" x14ac:dyDescent="0.2">
      <c r="A7" s="486" t="s">
        <v>145</v>
      </c>
      <c r="B7" s="486"/>
      <c r="C7" s="486"/>
      <c r="D7" s="486"/>
      <c r="E7" s="3" t="s">
        <v>108</v>
      </c>
      <c r="F7" s="3" t="s">
        <v>104</v>
      </c>
      <c r="H7" s="5"/>
      <c r="L7" s="15"/>
    </row>
    <row r="8" spans="1:13" x14ac:dyDescent="0.2">
      <c r="A8" s="3"/>
      <c r="B8" s="3"/>
      <c r="C8" s="3"/>
      <c r="D8" s="3"/>
      <c r="E8" s="3"/>
      <c r="F8" s="3"/>
    </row>
    <row r="9" spans="1:13" x14ac:dyDescent="0.2">
      <c r="A9" s="486" t="s">
        <v>46</v>
      </c>
      <c r="B9" s="486"/>
      <c r="C9" s="486"/>
      <c r="D9" s="486"/>
      <c r="E9" s="486"/>
      <c r="F9" s="486"/>
      <c r="M9" s="15"/>
    </row>
    <row r="10" spans="1:13" x14ac:dyDescent="0.2">
      <c r="A10" s="3"/>
      <c r="B10" s="3"/>
      <c r="C10" s="3"/>
      <c r="D10" s="3"/>
      <c r="E10" s="3"/>
      <c r="F10" s="3"/>
    </row>
    <row r="11" spans="1:13" x14ac:dyDescent="0.2">
      <c r="A11" s="485" t="str">
        <f>'INVENTARIO INICIAL'!A10</f>
        <v>INVENTARIO DE MERCANCIA</v>
      </c>
      <c r="B11" s="485"/>
      <c r="C11" s="485"/>
      <c r="D11" s="485"/>
      <c r="E11" s="146">
        <f>+INVENTARIOS!P17</f>
        <v>1871751</v>
      </c>
    </row>
    <row r="12" spans="1:13" x14ac:dyDescent="0.2">
      <c r="A12" s="485" t="s">
        <v>218</v>
      </c>
      <c r="B12" s="485"/>
      <c r="C12" s="485"/>
      <c r="D12" s="485"/>
      <c r="E12" s="14"/>
      <c r="F12" s="147">
        <f>E11</f>
        <v>1871751</v>
      </c>
      <c r="H12" s="5"/>
      <c r="L12" s="15"/>
    </row>
    <row r="13" spans="1:13" x14ac:dyDescent="0.2">
      <c r="A13" s="13"/>
      <c r="B13" s="13"/>
      <c r="C13" s="13"/>
      <c r="D13" s="13"/>
      <c r="E13" s="146">
        <f>SUM(E11:E12)</f>
        <v>1871751</v>
      </c>
      <c r="F13" s="146">
        <f>SUM(F11:F12)</f>
        <v>1871751</v>
      </c>
    </row>
    <row r="14" spans="1:13" x14ac:dyDescent="0.2">
      <c r="A14" s="485"/>
      <c r="B14" s="485"/>
      <c r="C14" s="485"/>
      <c r="D14" s="485"/>
      <c r="K14" s="11"/>
      <c r="M14" s="15"/>
    </row>
    <row r="15" spans="1:13" x14ac:dyDescent="0.2">
      <c r="A15" s="486" t="s">
        <v>110</v>
      </c>
      <c r="B15" s="486"/>
      <c r="C15" s="486"/>
      <c r="D15" s="486"/>
      <c r="E15" s="486"/>
      <c r="F15" s="486"/>
    </row>
    <row r="16" spans="1:13" x14ac:dyDescent="0.2">
      <c r="A16" s="3"/>
      <c r="B16" s="3"/>
      <c r="C16" s="3"/>
      <c r="D16" s="3"/>
      <c r="E16" s="3"/>
      <c r="F16" s="3"/>
    </row>
    <row r="17" spans="1:13" x14ac:dyDescent="0.2">
      <c r="A17" s="485" t="s">
        <v>217</v>
      </c>
      <c r="B17" s="485"/>
      <c r="C17" s="485"/>
      <c r="D17" s="485"/>
      <c r="E17" s="11">
        <f>'ACTIVOS FIJOS AR'!S19</f>
        <v>7741609.9080228731</v>
      </c>
      <c r="L17" s="15"/>
    </row>
    <row r="18" spans="1:13" x14ac:dyDescent="0.2">
      <c r="A18" s="485" t="str">
        <f>BALANCES!A22</f>
        <v>DEP. ACM. MAQUINARIAS</v>
      </c>
      <c r="B18" s="485"/>
      <c r="C18" s="485"/>
      <c r="D18" s="485"/>
      <c r="F18" s="11">
        <f>'ACTIVOS FIJOS AR'!T19</f>
        <v>1000484.2887127</v>
      </c>
      <c r="L18" s="11"/>
      <c r="M18" s="15"/>
    </row>
    <row r="19" spans="1:13" x14ac:dyDescent="0.2">
      <c r="A19" s="485" t="str">
        <f>BALANCES!A21</f>
        <v>MOBILIARIO</v>
      </c>
      <c r="B19" s="485"/>
      <c r="C19" s="485"/>
      <c r="D19" s="485"/>
      <c r="E19" s="11">
        <f>'ACTIVOS FIJOS AR'!S23</f>
        <v>1095034.691312592</v>
      </c>
    </row>
    <row r="20" spans="1:13" x14ac:dyDescent="0.2">
      <c r="A20" s="485" t="str">
        <f>BALANCES!A23</f>
        <v>DEP. ACM. MOBILIARIO</v>
      </c>
      <c r="B20" s="485"/>
      <c r="C20" s="485"/>
      <c r="D20" s="485"/>
      <c r="F20" s="11">
        <f>'ACTIVOS FIJOS AR'!T23</f>
        <v>342188.46162500186</v>
      </c>
    </row>
    <row r="21" spans="1:13" x14ac:dyDescent="0.2">
      <c r="A21" s="485" t="str">
        <f>BALANCES!A19</f>
        <v>TERRENO</v>
      </c>
      <c r="B21" s="485"/>
      <c r="C21" s="485"/>
      <c r="D21" s="485"/>
      <c r="E21" s="11">
        <f>'ACTIVOS FIJOS AR'!S26</f>
        <v>5333449.4166811779</v>
      </c>
    </row>
    <row r="22" spans="1:13" x14ac:dyDescent="0.2">
      <c r="A22" s="354" t="s">
        <v>11</v>
      </c>
      <c r="B22" s="13"/>
      <c r="C22" s="13"/>
      <c r="D22" s="13"/>
      <c r="E22" s="11">
        <f>+'ACTIVOS FIJOS AR'!R30</f>
        <v>678818.86484832806</v>
      </c>
    </row>
    <row r="23" spans="1:13" x14ac:dyDescent="0.2">
      <c r="A23" s="485" t="s">
        <v>218</v>
      </c>
      <c r="B23" s="485"/>
      <c r="C23" s="485"/>
      <c r="D23" s="485"/>
      <c r="E23" s="14"/>
      <c r="F23" s="12">
        <f>'ACTIVOS FIJOS AR'!U32</f>
        <v>13506240.130527269</v>
      </c>
      <c r="J23" s="500" t="s">
        <v>230</v>
      </c>
      <c r="K23" s="500"/>
    </row>
    <row r="24" spans="1:13" ht="13.5" thickBot="1" x14ac:dyDescent="0.25">
      <c r="A24" s="485"/>
      <c r="B24" s="485"/>
      <c r="C24" s="485"/>
      <c r="D24" s="485"/>
      <c r="E24" s="11">
        <f>SUM(E17:E23)</f>
        <v>14848912.880864972</v>
      </c>
      <c r="F24" s="11">
        <f>SUM(F17:F23)</f>
        <v>14848912.88086497</v>
      </c>
      <c r="J24" s="300" t="s">
        <v>103</v>
      </c>
      <c r="K24" s="300" t="s">
        <v>104</v>
      </c>
    </row>
    <row r="25" spans="1:13" x14ac:dyDescent="0.2">
      <c r="A25" s="485"/>
      <c r="B25" s="485"/>
      <c r="C25" s="485"/>
      <c r="D25" s="485"/>
      <c r="J25" s="11"/>
      <c r="K25" s="304">
        <f>+F12</f>
        <v>1871751</v>
      </c>
    </row>
    <row r="26" spans="1:13" x14ac:dyDescent="0.2">
      <c r="A26" s="486" t="s">
        <v>50</v>
      </c>
      <c r="B26" s="486"/>
      <c r="C26" s="486"/>
      <c r="D26" s="486"/>
      <c r="E26" s="486"/>
      <c r="F26" s="486"/>
      <c r="K26" s="305">
        <f>+F23</f>
        <v>13506240.130527269</v>
      </c>
    </row>
    <row r="27" spans="1:13" x14ac:dyDescent="0.2">
      <c r="A27" s="485" t="str">
        <f>BALANCES!A11</f>
        <v>SEGUROS PREPAGADOS</v>
      </c>
      <c r="B27" s="485"/>
      <c r="C27" s="485"/>
      <c r="D27" s="485"/>
      <c r="E27" s="11">
        <f>+'ACTIVOS FIJOS AMORTIZABLES'!R19</f>
        <v>51040.824706386251</v>
      </c>
      <c r="K27" s="305">
        <f>+F28</f>
        <v>51040.824706386251</v>
      </c>
    </row>
    <row r="28" spans="1:13" x14ac:dyDescent="0.2">
      <c r="A28" s="485" t="s">
        <v>218</v>
      </c>
      <c r="B28" s="485"/>
      <c r="C28" s="485"/>
      <c r="D28" s="485"/>
      <c r="E28" s="14"/>
      <c r="F28" s="12">
        <f>E27</f>
        <v>51040.824706386251</v>
      </c>
      <c r="K28" s="305">
        <f>+F36</f>
        <v>152247.98626795597</v>
      </c>
    </row>
    <row r="29" spans="1:13" x14ac:dyDescent="0.2">
      <c r="A29" s="485"/>
      <c r="B29" s="485"/>
      <c r="C29" s="485"/>
      <c r="D29" s="485"/>
      <c r="E29" s="11">
        <f>SUM(E27:E28)</f>
        <v>51040.824706386251</v>
      </c>
      <c r="F29" s="11">
        <f>SUM(F28)</f>
        <v>51040.824706386251</v>
      </c>
      <c r="J29" s="11">
        <f>+E42</f>
        <v>1357429</v>
      </c>
      <c r="K29" s="6"/>
    </row>
    <row r="30" spans="1:13" x14ac:dyDescent="0.2">
      <c r="A30" s="13"/>
      <c r="B30" s="13"/>
      <c r="C30" s="13"/>
      <c r="D30" s="13"/>
      <c r="E30" s="11"/>
      <c r="F30" s="11"/>
      <c r="J30" s="11">
        <f>+E49</f>
        <v>12313447.656789418</v>
      </c>
      <c r="K30" s="6"/>
    </row>
    <row r="31" spans="1:13" x14ac:dyDescent="0.2">
      <c r="A31" s="13"/>
      <c r="B31" s="13"/>
      <c r="C31" s="13"/>
      <c r="D31" s="13"/>
      <c r="E31" s="11"/>
      <c r="F31" s="11"/>
      <c r="K31" s="6"/>
    </row>
    <row r="32" spans="1:13" x14ac:dyDescent="0.2">
      <c r="A32" s="485"/>
      <c r="B32" s="485"/>
      <c r="C32" s="485"/>
      <c r="D32" s="485"/>
      <c r="J32" s="14"/>
      <c r="K32" s="7"/>
    </row>
    <row r="33" spans="1:11" x14ac:dyDescent="0.2">
      <c r="A33" s="486" t="s">
        <v>224</v>
      </c>
      <c r="B33" s="486"/>
      <c r="C33" s="486"/>
      <c r="D33" s="486"/>
      <c r="E33" s="486"/>
      <c r="F33" s="486"/>
      <c r="J33" s="11">
        <f>SUM(J25:J32)</f>
        <v>13670876.656789418</v>
      </c>
      <c r="K33" s="305">
        <f>SUM(K25:K32)</f>
        <v>15581279.941501612</v>
      </c>
    </row>
    <row r="34" spans="1:11" x14ac:dyDescent="0.2">
      <c r="A34" s="3"/>
      <c r="B34" s="3"/>
      <c r="C34" s="3"/>
      <c r="D34" s="3"/>
      <c r="E34" s="3"/>
      <c r="F34" s="3"/>
      <c r="J34" s="301">
        <f>+K33-J33</f>
        <v>1910403.2847121935</v>
      </c>
      <c r="K34" s="6"/>
    </row>
    <row r="35" spans="1:11" x14ac:dyDescent="0.2">
      <c r="A35" s="485" t="s">
        <v>106</v>
      </c>
      <c r="B35" s="485"/>
      <c r="C35" s="485"/>
      <c r="D35" s="485"/>
      <c r="E35" s="11">
        <f>+'EXCLUSIONES FISCALES'!H37*-1</f>
        <v>152247.98626795597</v>
      </c>
      <c r="F35" s="11"/>
      <c r="J35" t="s">
        <v>229</v>
      </c>
    </row>
    <row r="36" spans="1:11" x14ac:dyDescent="0.2">
      <c r="A36" s="485" t="s">
        <v>221</v>
      </c>
      <c r="B36" s="485"/>
      <c r="C36" s="485"/>
      <c r="D36" s="485"/>
      <c r="E36" s="12"/>
      <c r="F36" s="12">
        <f>+E35</f>
        <v>152247.98626795597</v>
      </c>
    </row>
    <row r="37" spans="1:11" x14ac:dyDescent="0.2">
      <c r="E37" s="299">
        <f>SUM(E35:E36)</f>
        <v>152247.98626795597</v>
      </c>
      <c r="F37" s="299">
        <f>SUM(F35:F36)</f>
        <v>152247.98626795597</v>
      </c>
      <c r="J37" s="11"/>
    </row>
    <row r="38" spans="1:11" x14ac:dyDescent="0.2">
      <c r="A38" s="485"/>
      <c r="B38" s="485"/>
      <c r="C38" s="485"/>
      <c r="D38" s="485"/>
    </row>
    <row r="39" spans="1:11" x14ac:dyDescent="0.2">
      <c r="A39" s="485"/>
      <c r="B39" s="485"/>
      <c r="C39" s="485"/>
      <c r="D39" s="485"/>
    </row>
    <row r="40" spans="1:11" x14ac:dyDescent="0.2">
      <c r="A40" s="486" t="s">
        <v>298</v>
      </c>
      <c r="B40" s="486"/>
      <c r="C40" s="486"/>
      <c r="D40" s="486"/>
      <c r="E40" s="486"/>
      <c r="F40" s="486"/>
    </row>
    <row r="42" spans="1:11" x14ac:dyDescent="0.2">
      <c r="A42" s="485" t="s">
        <v>221</v>
      </c>
      <c r="B42" s="485"/>
      <c r="C42" s="485"/>
      <c r="D42" s="485"/>
      <c r="E42" s="299">
        <f>+'CAPITAL SOCIAL'!I18</f>
        <v>1357429</v>
      </c>
      <c r="F42" s="8"/>
      <c r="H42" s="11"/>
    </row>
    <row r="43" spans="1:11" x14ac:dyDescent="0.2">
      <c r="A43" s="485" t="s">
        <v>106</v>
      </c>
      <c r="B43" s="485"/>
      <c r="C43" s="485"/>
      <c r="D43" s="485"/>
      <c r="E43" s="14"/>
      <c r="F43" s="12">
        <f>+E42</f>
        <v>1357429</v>
      </c>
      <c r="H43" s="11"/>
    </row>
    <row r="44" spans="1:11" x14ac:dyDescent="0.2">
      <c r="E44" s="11">
        <f>SUM(E42:E43)</f>
        <v>1357429</v>
      </c>
      <c r="F44" s="11">
        <f>SUM(F42:F43)</f>
        <v>1357429</v>
      </c>
      <c r="H44" s="11"/>
    </row>
    <row r="45" spans="1:11" x14ac:dyDescent="0.2">
      <c r="E45" s="11"/>
      <c r="F45" s="11"/>
    </row>
    <row r="46" spans="1:11" x14ac:dyDescent="0.2">
      <c r="E46" s="11"/>
      <c r="F46" s="11"/>
    </row>
    <row r="48" spans="1:11" x14ac:dyDescent="0.2">
      <c r="A48" s="486" t="s">
        <v>106</v>
      </c>
      <c r="B48" s="486"/>
      <c r="C48" s="486"/>
      <c r="D48" s="486"/>
      <c r="E48" s="486"/>
      <c r="F48" s="486"/>
    </row>
    <row r="49" spans="1:11" x14ac:dyDescent="0.2">
      <c r="A49" s="485" t="s">
        <v>221</v>
      </c>
      <c r="B49" s="485"/>
      <c r="C49" s="485"/>
      <c r="D49" s="485"/>
      <c r="E49" s="299">
        <f>'BALANCE FISCAL ACT 2014 A 2015'!E59</f>
        <v>12313447.656789418</v>
      </c>
      <c r="F49" s="299"/>
    </row>
    <row r="50" spans="1:11" x14ac:dyDescent="0.2">
      <c r="A50" s="485" t="s">
        <v>106</v>
      </c>
      <c r="B50" s="485"/>
      <c r="C50" s="485"/>
      <c r="D50" s="485"/>
      <c r="E50" s="12"/>
      <c r="F50" s="12">
        <f>+E49</f>
        <v>12313447.656789418</v>
      </c>
    </row>
    <row r="51" spans="1:11" x14ac:dyDescent="0.2">
      <c r="E51" s="299">
        <f>SUM(E49:E50)</f>
        <v>12313447.656789418</v>
      </c>
      <c r="F51" s="299">
        <f>SUM(F49:F50)</f>
        <v>12313447.656789418</v>
      </c>
    </row>
    <row r="52" spans="1:11" x14ac:dyDescent="0.2">
      <c r="E52" s="299"/>
      <c r="F52" s="299"/>
    </row>
    <row r="53" spans="1:11" s="303" customFormat="1" ht="27.75" customHeight="1" x14ac:dyDescent="0.2">
      <c r="J53" s="500" t="s">
        <v>106</v>
      </c>
      <c r="K53" s="500"/>
    </row>
    <row r="54" spans="1:11" ht="13.5" thickBot="1" x14ac:dyDescent="0.25">
      <c r="J54" s="300" t="s">
        <v>103</v>
      </c>
      <c r="K54" s="300" t="s">
        <v>104</v>
      </c>
    </row>
    <row r="55" spans="1:11" x14ac:dyDescent="0.2">
      <c r="A55" s="486" t="s">
        <v>225</v>
      </c>
      <c r="B55" s="486"/>
      <c r="C55" s="486"/>
      <c r="D55" s="486"/>
      <c r="E55" s="486"/>
      <c r="F55" s="486"/>
      <c r="J55" s="11">
        <f>+E35</f>
        <v>152247.98626795597</v>
      </c>
      <c r="K55" s="306"/>
    </row>
    <row r="56" spans="1:11" x14ac:dyDescent="0.2">
      <c r="E56" s="10"/>
      <c r="F56" s="10"/>
      <c r="K56" s="305">
        <f>+F43</f>
        <v>1357429</v>
      </c>
    </row>
    <row r="57" spans="1:11" x14ac:dyDescent="0.2">
      <c r="A57" s="485" t="s">
        <v>105</v>
      </c>
      <c r="B57" s="485"/>
      <c r="C57" s="485"/>
      <c r="D57" s="485"/>
      <c r="F57" s="10">
        <f>'EXCLUSIONES FISCALES'!F37*-1</f>
        <v>135000</v>
      </c>
      <c r="K57" s="305">
        <f>+F50</f>
        <v>12313447.656789418</v>
      </c>
    </row>
    <row r="58" spans="1:11" x14ac:dyDescent="0.2">
      <c r="A58" s="358" t="s">
        <v>248</v>
      </c>
      <c r="B58" s="357"/>
      <c r="C58" s="357"/>
      <c r="D58" s="357"/>
      <c r="E58" s="10">
        <f>'EXCLUSIONES FISCALES'!F35*-1</f>
        <v>100000</v>
      </c>
      <c r="K58" s="305"/>
    </row>
    <row r="59" spans="1:11" x14ac:dyDescent="0.2">
      <c r="A59" s="13" t="s">
        <v>226</v>
      </c>
      <c r="B59" s="13"/>
      <c r="C59" s="13"/>
      <c r="D59" s="13"/>
      <c r="E59" s="10">
        <f>-'EXCLUSIONES FISCALES'!F27</f>
        <v>25000</v>
      </c>
      <c r="F59" s="10"/>
      <c r="K59" s="305">
        <f>+F66</f>
        <v>1910403.2847121935</v>
      </c>
    </row>
    <row r="60" spans="1:11" x14ac:dyDescent="0.2">
      <c r="A60" s="13" t="s">
        <v>227</v>
      </c>
      <c r="B60" s="13"/>
      <c r="C60" s="13"/>
      <c r="D60" s="13"/>
      <c r="E60" s="145">
        <f>-'EXCLUSIONES FISCALES'!F32</f>
        <v>10000</v>
      </c>
      <c r="F60" s="145"/>
      <c r="K60" s="6"/>
    </row>
    <row r="61" spans="1:11" x14ac:dyDescent="0.2">
      <c r="E61" s="10">
        <f>SUM(E57:E60)</f>
        <v>135000</v>
      </c>
      <c r="F61" s="10">
        <f>SUM(F57:F60)</f>
        <v>135000</v>
      </c>
      <c r="J61" s="355">
        <f>SUM(J55:J60)</f>
        <v>152247.98626795597</v>
      </c>
      <c r="K61" s="355">
        <f>SUM(K55:K60)</f>
        <v>15581279.941501612</v>
      </c>
    </row>
    <row r="62" spans="1:11" x14ac:dyDescent="0.2">
      <c r="K62" s="307">
        <f>+K61-J61</f>
        <v>15429031.955233656</v>
      </c>
    </row>
    <row r="63" spans="1:11" x14ac:dyDescent="0.2">
      <c r="A63" s="486" t="s">
        <v>228</v>
      </c>
      <c r="B63" s="486"/>
      <c r="C63" s="486"/>
      <c r="D63" s="486"/>
      <c r="E63" s="486"/>
      <c r="F63" s="486"/>
      <c r="J63" s="356" t="s">
        <v>246</v>
      </c>
      <c r="K63" s="11">
        <f>+'ASIENTOS FISCALES'!J29</f>
        <v>-1517919.2599221512</v>
      </c>
    </row>
    <row r="64" spans="1:11" x14ac:dyDescent="0.2">
      <c r="K64" s="11">
        <f>+K62+K63</f>
        <v>13911112.695311505</v>
      </c>
    </row>
    <row r="65" spans="1:6" x14ac:dyDescent="0.2">
      <c r="A65" s="485" t="s">
        <v>221</v>
      </c>
      <c r="B65" s="485"/>
      <c r="C65" s="485"/>
      <c r="D65" s="485"/>
      <c r="E65" s="302">
        <f>+J34</f>
        <v>1910403.2847121935</v>
      </c>
      <c r="F65" s="299"/>
    </row>
    <row r="66" spans="1:6" x14ac:dyDescent="0.2">
      <c r="A66" s="485" t="s">
        <v>106</v>
      </c>
      <c r="B66" s="485"/>
      <c r="C66" s="485"/>
      <c r="D66" s="485"/>
      <c r="E66" s="12"/>
      <c r="F66" s="12">
        <f>+E65</f>
        <v>1910403.2847121935</v>
      </c>
    </row>
    <row r="67" spans="1:6" x14ac:dyDescent="0.2">
      <c r="E67" s="299">
        <f>SUM(E65:E66)</f>
        <v>1910403.2847121935</v>
      </c>
      <c r="F67" s="299">
        <f>SUM(F65:F66)</f>
        <v>1910403.2847121935</v>
      </c>
    </row>
  </sheetData>
  <mergeCells count="37">
    <mergeCell ref="A40:F40"/>
    <mergeCell ref="A43:D43"/>
    <mergeCell ref="A42:D42"/>
    <mergeCell ref="A55:F55"/>
    <mergeCell ref="A65:D65"/>
    <mergeCell ref="A66:D66"/>
    <mergeCell ref="A49:D49"/>
    <mergeCell ref="A50:D50"/>
    <mergeCell ref="A63:F63"/>
    <mergeCell ref="A57:D57"/>
    <mergeCell ref="J23:K23"/>
    <mergeCell ref="J53:K53"/>
    <mergeCell ref="A14:D14"/>
    <mergeCell ref="A17:D17"/>
    <mergeCell ref="A18:D18"/>
    <mergeCell ref="A25:D25"/>
    <mergeCell ref="A27:D27"/>
    <mergeCell ref="A39:D39"/>
    <mergeCell ref="A48:F48"/>
    <mergeCell ref="A26:F26"/>
    <mergeCell ref="A28:D28"/>
    <mergeCell ref="A29:D29"/>
    <mergeCell ref="A33:F33"/>
    <mergeCell ref="A36:D36"/>
    <mergeCell ref="A38:D38"/>
    <mergeCell ref="A32:D32"/>
    <mergeCell ref="A35:D35"/>
    <mergeCell ref="A7:D7"/>
    <mergeCell ref="A11:D11"/>
    <mergeCell ref="A12:D12"/>
    <mergeCell ref="A24:D24"/>
    <mergeCell ref="A19:D19"/>
    <mergeCell ref="A20:D20"/>
    <mergeCell ref="A21:D21"/>
    <mergeCell ref="A23:D23"/>
    <mergeCell ref="A9:F9"/>
    <mergeCell ref="A15:F15"/>
  </mergeCells>
  <phoneticPr fontId="0" type="noConversion"/>
  <pageMargins left="0.75" right="0.75" top="0.14000000000000001" bottom="0.16" header="0" footer="0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16" zoomScaleNormal="100" workbookViewId="0">
      <selection activeCell="G25" sqref="G25"/>
    </sheetView>
  </sheetViews>
  <sheetFormatPr baseColWidth="10" defaultRowHeight="12.75" x14ac:dyDescent="0.2"/>
  <cols>
    <col min="1" max="1" width="53.7109375" style="378" bestFit="1" customWidth="1"/>
    <col min="2" max="2" width="16.85546875" style="444" customWidth="1"/>
    <col min="3" max="3" width="16.5703125" style="444" customWidth="1"/>
    <col min="4" max="4" width="17.42578125" style="444" customWidth="1"/>
    <col min="5" max="5" width="17.28515625" style="444" customWidth="1"/>
    <col min="6" max="6" width="11.42578125" style="378"/>
    <col min="7" max="7" width="16.5703125" style="409" bestFit="1" customWidth="1"/>
    <col min="8" max="16384" width="11.42578125" style="378"/>
  </cols>
  <sheetData>
    <row r="1" spans="1:7" x14ac:dyDescent="0.2">
      <c r="A1" s="389" t="s">
        <v>80</v>
      </c>
    </row>
    <row r="2" spans="1:7" x14ac:dyDescent="0.2">
      <c r="A2" s="389" t="s">
        <v>278</v>
      </c>
    </row>
    <row r="3" spans="1:7" x14ac:dyDescent="0.2">
      <c r="A3" s="389" t="s">
        <v>98</v>
      </c>
    </row>
    <row r="4" spans="1:7" ht="13.5" thickBot="1" x14ac:dyDescent="0.25">
      <c r="A4" s="389"/>
    </row>
    <row r="5" spans="1:7" x14ac:dyDescent="0.2">
      <c r="A5" s="503" t="s">
        <v>118</v>
      </c>
      <c r="B5" s="501" t="s">
        <v>288</v>
      </c>
      <c r="C5" s="501" t="s">
        <v>289</v>
      </c>
      <c r="D5" s="501" t="s">
        <v>290</v>
      </c>
      <c r="E5" s="501" t="s">
        <v>119</v>
      </c>
    </row>
    <row r="6" spans="1:7" x14ac:dyDescent="0.2">
      <c r="A6" s="504"/>
      <c r="B6" s="502"/>
      <c r="C6" s="502"/>
      <c r="D6" s="502"/>
      <c r="E6" s="502"/>
    </row>
    <row r="7" spans="1:7" x14ac:dyDescent="0.2">
      <c r="A7" s="504"/>
      <c r="B7" s="502"/>
      <c r="C7" s="502"/>
      <c r="D7" s="502"/>
      <c r="E7" s="502"/>
    </row>
    <row r="8" spans="1:7" x14ac:dyDescent="0.2">
      <c r="A8" s="504"/>
      <c r="B8" s="502"/>
      <c r="C8" s="502"/>
      <c r="D8" s="502"/>
      <c r="E8" s="502"/>
    </row>
    <row r="9" spans="1:7" ht="13.5" thickBot="1" x14ac:dyDescent="0.25">
      <c r="A9" s="505"/>
      <c r="B9" s="502"/>
      <c r="C9" s="502"/>
      <c r="D9" s="502"/>
      <c r="E9" s="502"/>
    </row>
    <row r="10" spans="1:7" x14ac:dyDescent="0.2">
      <c r="A10" s="445"/>
      <c r="B10" s="450"/>
      <c r="C10" s="450"/>
      <c r="D10" s="450"/>
      <c r="E10" s="450"/>
    </row>
    <row r="11" spans="1:7" x14ac:dyDescent="0.2">
      <c r="A11" s="391" t="s">
        <v>32</v>
      </c>
      <c r="B11" s="450"/>
      <c r="C11" s="450"/>
      <c r="D11" s="450"/>
      <c r="E11" s="450"/>
    </row>
    <row r="12" spans="1:7" x14ac:dyDescent="0.2">
      <c r="A12" s="391" t="s">
        <v>24</v>
      </c>
      <c r="B12" s="450"/>
      <c r="C12" s="450"/>
      <c r="D12" s="450"/>
      <c r="E12" s="450"/>
    </row>
    <row r="13" spans="1:7" x14ac:dyDescent="0.2">
      <c r="A13" s="402" t="s">
        <v>0</v>
      </c>
      <c r="B13" s="451">
        <f>BALANCES!C7</f>
        <v>200000</v>
      </c>
      <c r="C13" s="450"/>
      <c r="D13" s="450"/>
      <c r="E13" s="450">
        <f>+B13+C13+D13</f>
        <v>200000</v>
      </c>
    </row>
    <row r="14" spans="1:7" x14ac:dyDescent="0.2">
      <c r="A14" s="402" t="s">
        <v>1</v>
      </c>
      <c r="B14" s="451">
        <f>BALANCES!C8</f>
        <v>1200000</v>
      </c>
      <c r="C14" s="450"/>
      <c r="D14" s="450"/>
      <c r="E14" s="450">
        <f>+B14+C14+D14</f>
        <v>1200000</v>
      </c>
    </row>
    <row r="15" spans="1:7" ht="13.5" thickBot="1" x14ac:dyDescent="0.25">
      <c r="A15" s="402" t="s">
        <v>2</v>
      </c>
      <c r="B15" s="451">
        <f>BALANCES!C9</f>
        <v>1010000</v>
      </c>
      <c r="C15" s="450"/>
      <c r="D15" s="450">
        <f>'ASIENTOS FISCALES 2015'!E11</f>
        <v>1871751</v>
      </c>
      <c r="E15" s="450">
        <f>+B15+C15+D15</f>
        <v>2881751</v>
      </c>
    </row>
    <row r="16" spans="1:7" ht="13.5" thickBot="1" x14ac:dyDescent="0.25">
      <c r="A16" s="402" t="s">
        <v>3</v>
      </c>
      <c r="B16" s="451">
        <f>BALANCES!C10</f>
        <v>2800000</v>
      </c>
      <c r="C16" s="450"/>
      <c r="D16" s="450"/>
      <c r="E16" s="458">
        <f>+B16+C16+D16</f>
        <v>2800000</v>
      </c>
      <c r="F16" s="564" t="s">
        <v>297</v>
      </c>
      <c r="G16" s="565"/>
    </row>
    <row r="17" spans="1:7" x14ac:dyDescent="0.2">
      <c r="A17" s="402" t="s">
        <v>4</v>
      </c>
      <c r="B17" s="451">
        <f>BALANCES!C11</f>
        <v>60000</v>
      </c>
      <c r="C17" s="450">
        <f>VLOOKUP(A17,BFIA,8,)</f>
        <v>21948.458993557375</v>
      </c>
      <c r="D17" s="450">
        <f>'ASIENTOS FISCALES 2015'!E27</f>
        <v>51040.824706386251</v>
      </c>
      <c r="E17" s="458">
        <f>+B17+C17+D17</f>
        <v>132989.28369994363</v>
      </c>
      <c r="F17" s="465">
        <f>'ACTIVOS FIJOS AMORTIZABLES'!N19-'ACTIVOS FIJOS AMORTIZABLES'!P19</f>
        <v>132989.28369994368</v>
      </c>
      <c r="G17" s="561">
        <f>E17-F17</f>
        <v>0</v>
      </c>
    </row>
    <row r="18" spans="1:7" x14ac:dyDescent="0.2">
      <c r="A18" s="391" t="s">
        <v>25</v>
      </c>
      <c r="B18" s="452">
        <f>SUM(B13:B17)</f>
        <v>5270000</v>
      </c>
      <c r="C18" s="452"/>
      <c r="D18" s="452"/>
      <c r="E18" s="464">
        <f>SUM(E13:E17)</f>
        <v>7214740.2836999437</v>
      </c>
      <c r="F18" s="466"/>
      <c r="G18" s="562"/>
    </row>
    <row r="19" spans="1:7" x14ac:dyDescent="0.2">
      <c r="A19" s="391"/>
      <c r="B19" s="451"/>
      <c r="C19" s="450"/>
      <c r="D19" s="450"/>
      <c r="E19" s="458"/>
      <c r="F19" s="466"/>
      <c r="G19" s="562"/>
    </row>
    <row r="20" spans="1:7" x14ac:dyDescent="0.2">
      <c r="A20" s="391" t="s">
        <v>11</v>
      </c>
      <c r="B20" s="451"/>
      <c r="C20" s="450"/>
      <c r="D20" s="450"/>
      <c r="E20" s="458"/>
      <c r="F20" s="466"/>
      <c r="G20" s="562"/>
    </row>
    <row r="21" spans="1:7" x14ac:dyDescent="0.2">
      <c r="A21" s="402" t="s">
        <v>12</v>
      </c>
      <c r="B21" s="451">
        <f>BALANCES!C15</f>
        <v>303500</v>
      </c>
      <c r="C21" s="450">
        <f>VLOOKUP(A21,BFIA,8,)</f>
        <v>91205.615194054495</v>
      </c>
      <c r="D21" s="450">
        <f>+'ACTIVOS FIJOS AR'!R30</f>
        <v>678818.86484832806</v>
      </c>
      <c r="E21" s="458">
        <f>+B21+C21+D21</f>
        <v>1073524.4800423826</v>
      </c>
      <c r="F21" s="467">
        <f>+'ACTIVOS FIJOS AR'!N30</f>
        <v>1073524.4800423826</v>
      </c>
      <c r="G21" s="562">
        <f>+E21-F21</f>
        <v>0</v>
      </c>
    </row>
    <row r="22" spans="1:7" x14ac:dyDescent="0.2">
      <c r="A22" s="391" t="s">
        <v>33</v>
      </c>
      <c r="B22" s="452">
        <f>SUM(B21)</f>
        <v>303500</v>
      </c>
      <c r="C22" s="452"/>
      <c r="D22" s="452"/>
      <c r="E22" s="464">
        <f>SUM(E21)</f>
        <v>1073524.4800423826</v>
      </c>
      <c r="F22" s="466"/>
      <c r="G22" s="562"/>
    </row>
    <row r="23" spans="1:7" x14ac:dyDescent="0.2">
      <c r="A23" s="391"/>
      <c r="B23" s="451"/>
      <c r="C23" s="450"/>
      <c r="D23" s="450"/>
      <c r="E23" s="458"/>
      <c r="F23" s="466"/>
      <c r="G23" s="562"/>
    </row>
    <row r="24" spans="1:7" x14ac:dyDescent="0.2">
      <c r="A24" s="391" t="s">
        <v>5</v>
      </c>
      <c r="B24" s="451"/>
      <c r="C24" s="450"/>
      <c r="D24" s="450"/>
      <c r="E24" s="458"/>
      <c r="F24" s="466"/>
      <c r="G24" s="562"/>
    </row>
    <row r="25" spans="1:7" x14ac:dyDescent="0.2">
      <c r="A25" s="402" t="s">
        <v>63</v>
      </c>
      <c r="B25" s="451">
        <f>BALANCES!C19</f>
        <v>2000000</v>
      </c>
      <c r="C25" s="450">
        <f>VLOOKUP(A25,BFIA,8,)</f>
        <v>877938.359742295</v>
      </c>
      <c r="D25" s="450">
        <f>+'ASIENTOS FISCALES 2015'!E21</f>
        <v>5333449.4166811779</v>
      </c>
      <c r="E25" s="458">
        <f>+B25+C25+D25</f>
        <v>8211387.7764234729</v>
      </c>
      <c r="F25" s="467">
        <f>'ACTIVOS FIJOS AR'!N26</f>
        <v>8211387.7764234729</v>
      </c>
      <c r="G25" s="562">
        <f t="shared" ref="G25:G29" si="0">+E25-F25</f>
        <v>0</v>
      </c>
    </row>
    <row r="26" spans="1:7" x14ac:dyDescent="0.2">
      <c r="A26" s="402" t="s">
        <v>6</v>
      </c>
      <c r="B26" s="451">
        <f>BALANCES!C20</f>
        <v>4000000</v>
      </c>
      <c r="C26" s="450">
        <f>VLOOKUP(A26,BFIA,8,)</f>
        <v>444915.11836431292</v>
      </c>
      <c r="D26" s="450">
        <f>+'ASIENTOS FISCALES 2015'!E17</f>
        <v>7741609.9080228731</v>
      </c>
      <c r="E26" s="458">
        <f>+B26+C26+D26</f>
        <v>12186525.026387185</v>
      </c>
      <c r="F26" s="467">
        <f>'ACTIVOS FIJOS AR'!N19</f>
        <v>12186525.026387187</v>
      </c>
      <c r="G26" s="562">
        <f t="shared" si="0"/>
        <v>0</v>
      </c>
    </row>
    <row r="27" spans="1:7" x14ac:dyDescent="0.2">
      <c r="A27" s="402" t="s">
        <v>7</v>
      </c>
      <c r="B27" s="451">
        <f>BALANCES!C21</f>
        <v>650000</v>
      </c>
      <c r="C27" s="450">
        <f>VLOOKUP(A27,BFIA,8,)</f>
        <v>123286.37011239509</v>
      </c>
      <c r="D27" s="450">
        <f>+'ASIENTOS FISCALES 2015'!E19</f>
        <v>1095034.691312592</v>
      </c>
      <c r="E27" s="458">
        <f>+B27+C27+D27</f>
        <v>1868321.0614249872</v>
      </c>
      <c r="F27" s="467">
        <f>'ACTIVOS FIJOS AR'!N23</f>
        <v>1868321.0614249874</v>
      </c>
      <c r="G27" s="562">
        <f t="shared" si="0"/>
        <v>0</v>
      </c>
    </row>
    <row r="28" spans="1:7" x14ac:dyDescent="0.2">
      <c r="A28" s="402" t="s">
        <v>8</v>
      </c>
      <c r="B28" s="451">
        <f>BALANCES!C22</f>
        <v>-466666.66666666674</v>
      </c>
      <c r="C28" s="450">
        <f>VLOOKUP(A28,BFIA,8,)</f>
        <v>-26991.252638017708</v>
      </c>
      <c r="D28" s="450">
        <f>-'ASIENTOS FISCALES 2015'!F18</f>
        <v>-1000484.2887127</v>
      </c>
      <c r="E28" s="458">
        <f>+B28+C28+D28</f>
        <v>-1494142.2080173844</v>
      </c>
      <c r="F28" s="468">
        <f>'ACTIVOS FIJOS AR'!P19*-1</f>
        <v>-1494142.2080173846</v>
      </c>
      <c r="G28" s="562">
        <f t="shared" si="0"/>
        <v>0</v>
      </c>
    </row>
    <row r="29" spans="1:7" ht="13.5" thickBot="1" x14ac:dyDescent="0.25">
      <c r="A29" s="402" t="s">
        <v>9</v>
      </c>
      <c r="B29" s="451">
        <f>BALANCES!C23</f>
        <v>-147500</v>
      </c>
      <c r="C29" s="450">
        <f>VLOOKUP(A29,BFIA,8,)</f>
        <v>-14383.409846446099</v>
      </c>
      <c r="D29" s="450">
        <f>-'ASIENTOS FISCALES 2015'!F20</f>
        <v>-342188.46162500186</v>
      </c>
      <c r="E29" s="458">
        <f>+B29+C29+D29</f>
        <v>-504071.87147144799</v>
      </c>
      <c r="F29" s="469">
        <f>'ACTIVOS FIJOS AR'!P23*-1</f>
        <v>-504071.87147144799</v>
      </c>
      <c r="G29" s="563">
        <f t="shared" si="0"/>
        <v>0</v>
      </c>
    </row>
    <row r="30" spans="1:7" x14ac:dyDescent="0.2">
      <c r="A30" s="391" t="s">
        <v>10</v>
      </c>
      <c r="B30" s="452">
        <f>SUM(B25:B29)</f>
        <v>6035833.333333333</v>
      </c>
      <c r="C30" s="452"/>
      <c r="D30" s="452"/>
      <c r="E30" s="452">
        <f>SUM(E25:E29)</f>
        <v>20268019.784746811</v>
      </c>
    </row>
    <row r="31" spans="1:7" x14ac:dyDescent="0.2">
      <c r="A31" s="402"/>
      <c r="B31" s="451"/>
      <c r="C31" s="450"/>
      <c r="D31" s="450"/>
      <c r="E31" s="450"/>
    </row>
    <row r="32" spans="1:7" x14ac:dyDescent="0.2">
      <c r="A32" s="391" t="s">
        <v>13</v>
      </c>
      <c r="B32" s="451"/>
      <c r="C32" s="450"/>
      <c r="D32" s="450"/>
      <c r="E32" s="450"/>
    </row>
    <row r="33" spans="1:5" x14ac:dyDescent="0.2">
      <c r="A33" s="402" t="s">
        <v>61</v>
      </c>
      <c r="B33" s="451">
        <f>BALANCES!C27</f>
        <v>0</v>
      </c>
      <c r="C33" s="450">
        <f>VLOOKUP(A33,BFIA,8,)</f>
        <v>-10000</v>
      </c>
      <c r="D33" s="450">
        <f>'ASIENTOS FISCALES 2015'!E60</f>
        <v>10000</v>
      </c>
      <c r="E33" s="450">
        <f>+B33+C33+D33</f>
        <v>0</v>
      </c>
    </row>
    <row r="34" spans="1:5" x14ac:dyDescent="0.2">
      <c r="A34" s="402" t="s">
        <v>62</v>
      </c>
      <c r="B34" s="451">
        <f>BALANCES!C28</f>
        <v>25000</v>
      </c>
      <c r="C34" s="450">
        <f>VLOOKUP(A34,BFIA,8,)</f>
        <v>-50000</v>
      </c>
      <c r="D34" s="450">
        <f>+'ASIENTOS FISCALES 2015'!E59</f>
        <v>25000</v>
      </c>
      <c r="E34" s="450">
        <f>+B34+C34+D34</f>
        <v>0</v>
      </c>
    </row>
    <row r="35" spans="1:5" x14ac:dyDescent="0.2">
      <c r="A35" s="402" t="s">
        <v>14</v>
      </c>
      <c r="B35" s="451">
        <f>BALANCES!C29</f>
        <v>21500</v>
      </c>
      <c r="C35" s="450"/>
      <c r="D35" s="450"/>
      <c r="E35" s="450">
        <f>+B35+C35+D35</f>
        <v>21500</v>
      </c>
    </row>
    <row r="36" spans="1:5" x14ac:dyDescent="0.2">
      <c r="A36" s="391" t="s">
        <v>30</v>
      </c>
      <c r="B36" s="452">
        <f>SUM(B33:B35)</f>
        <v>46500</v>
      </c>
      <c r="C36" s="452"/>
      <c r="D36" s="452"/>
      <c r="E36" s="452">
        <f>SUM(E33:E35)</f>
        <v>21500</v>
      </c>
    </row>
    <row r="37" spans="1:5" x14ac:dyDescent="0.2">
      <c r="A37" s="391"/>
      <c r="B37" s="451"/>
      <c r="C37" s="451"/>
      <c r="D37" s="451"/>
      <c r="E37" s="451"/>
    </row>
    <row r="38" spans="1:5" x14ac:dyDescent="0.2">
      <c r="A38" s="436" t="s">
        <v>31</v>
      </c>
      <c r="B38" s="453">
        <f>+B36+B30+B18+B22</f>
        <v>11655833.333333332</v>
      </c>
      <c r="C38" s="453"/>
      <c r="D38" s="453"/>
      <c r="E38" s="453">
        <f>+E36+E30+E18+E22</f>
        <v>28577784.548489138</v>
      </c>
    </row>
    <row r="39" spans="1:5" x14ac:dyDescent="0.2">
      <c r="A39" s="402"/>
      <c r="B39" s="451"/>
      <c r="C39" s="450"/>
      <c r="D39" s="450"/>
      <c r="E39" s="450"/>
    </row>
    <row r="40" spans="1:5" x14ac:dyDescent="0.2">
      <c r="A40" s="391" t="s">
        <v>15</v>
      </c>
      <c r="B40" s="451"/>
      <c r="C40" s="450"/>
      <c r="D40" s="450"/>
      <c r="E40" s="450"/>
    </row>
    <row r="41" spans="1:5" x14ac:dyDescent="0.2">
      <c r="A41" s="402"/>
      <c r="B41" s="451"/>
      <c r="C41" s="450"/>
      <c r="D41" s="450"/>
      <c r="E41" s="450"/>
    </row>
    <row r="42" spans="1:5" x14ac:dyDescent="0.2">
      <c r="A42" s="391" t="s">
        <v>16</v>
      </c>
      <c r="B42" s="451"/>
      <c r="C42" s="450"/>
      <c r="D42" s="450"/>
      <c r="E42" s="450"/>
    </row>
    <row r="43" spans="1:5" x14ac:dyDescent="0.2">
      <c r="A43" s="402" t="s">
        <v>17</v>
      </c>
      <c r="B43" s="451">
        <f>BALANCES!C37</f>
        <v>-4367500</v>
      </c>
      <c r="C43" s="450"/>
      <c r="D43" s="450"/>
      <c r="E43" s="450">
        <f>+B43+C43+D43</f>
        <v>-4367500</v>
      </c>
    </row>
    <row r="44" spans="1:5" x14ac:dyDescent="0.2">
      <c r="A44" s="391" t="s">
        <v>26</v>
      </c>
      <c r="B44" s="452">
        <f>SUM(B43)</f>
        <v>-4367500</v>
      </c>
      <c r="C44" s="452"/>
      <c r="D44" s="452"/>
      <c r="E44" s="452">
        <f>SUM(E43)</f>
        <v>-4367500</v>
      </c>
    </row>
    <row r="45" spans="1:5" x14ac:dyDescent="0.2">
      <c r="A45" s="402"/>
      <c r="B45" s="451"/>
      <c r="C45" s="450"/>
      <c r="D45" s="450"/>
      <c r="E45" s="450"/>
    </row>
    <row r="46" spans="1:5" x14ac:dyDescent="0.2">
      <c r="A46" s="391" t="s">
        <v>18</v>
      </c>
      <c r="B46" s="451"/>
      <c r="C46" s="450"/>
      <c r="D46" s="450"/>
      <c r="E46" s="450"/>
    </row>
    <row r="47" spans="1:5" x14ac:dyDescent="0.2">
      <c r="A47" s="402" t="s">
        <v>19</v>
      </c>
      <c r="B47" s="451">
        <f>BALANCES!C41</f>
        <v>-231062</v>
      </c>
      <c r="C47" s="450"/>
      <c r="D47" s="450"/>
      <c r="E47" s="450">
        <f>+B47+C47+D47</f>
        <v>-231062</v>
      </c>
    </row>
    <row r="48" spans="1:5" x14ac:dyDescent="0.2">
      <c r="A48" s="402" t="s">
        <v>248</v>
      </c>
      <c r="B48" s="451">
        <f>BALANCES!C42</f>
        <v>-600000</v>
      </c>
      <c r="C48" s="450">
        <f>VLOOKUP(A48,BFIA,8,)</f>
        <v>500000</v>
      </c>
      <c r="D48" s="450">
        <f>'ASIENTOS FISCALES 2015'!E58</f>
        <v>100000</v>
      </c>
      <c r="E48" s="450">
        <f>+B48+C48+D48</f>
        <v>0</v>
      </c>
    </row>
    <row r="49" spans="1:5" x14ac:dyDescent="0.2">
      <c r="A49" s="391" t="s">
        <v>27</v>
      </c>
      <c r="B49" s="452">
        <f>SUM(B47:B48)</f>
        <v>-831062</v>
      </c>
      <c r="C49" s="452"/>
      <c r="D49" s="452"/>
      <c r="E49" s="452">
        <f>SUM(E47:E48)</f>
        <v>-231062</v>
      </c>
    </row>
    <row r="50" spans="1:5" x14ac:dyDescent="0.2">
      <c r="A50" s="391"/>
      <c r="B50" s="451"/>
      <c r="C50" s="450"/>
      <c r="D50" s="450"/>
      <c r="E50" s="450"/>
    </row>
    <row r="51" spans="1:5" x14ac:dyDescent="0.2">
      <c r="A51" s="391" t="s">
        <v>20</v>
      </c>
      <c r="B51" s="451"/>
      <c r="C51" s="450"/>
      <c r="D51" s="450"/>
      <c r="E51" s="450"/>
    </row>
    <row r="52" spans="1:5" x14ac:dyDescent="0.2">
      <c r="A52" s="402" t="s">
        <v>21</v>
      </c>
      <c r="B52" s="451">
        <f>BALANCES!C46</f>
        <v>-4000000</v>
      </c>
      <c r="C52" s="450"/>
      <c r="D52" s="450"/>
      <c r="E52" s="450">
        <f>+B52+C52+D52</f>
        <v>-4000000</v>
      </c>
    </row>
    <row r="53" spans="1:5" x14ac:dyDescent="0.2">
      <c r="A53" s="402" t="s">
        <v>22</v>
      </c>
      <c r="B53" s="451">
        <f>BALANCES!C47</f>
        <v>-89250</v>
      </c>
      <c r="C53" s="450"/>
      <c r="D53" s="450"/>
      <c r="E53" s="450">
        <f>+B53+C53+D53</f>
        <v>-89250</v>
      </c>
    </row>
    <row r="54" spans="1:5" x14ac:dyDescent="0.2">
      <c r="A54" s="402" t="s">
        <v>23</v>
      </c>
      <c r="B54" s="451">
        <f>BALANCES!C48</f>
        <v>-2368021.33</v>
      </c>
      <c r="C54" s="450"/>
      <c r="D54" s="450"/>
      <c r="E54" s="450">
        <f>+B54+C54+D54</f>
        <v>-2368021.33</v>
      </c>
    </row>
    <row r="55" spans="1:5" x14ac:dyDescent="0.2">
      <c r="A55" s="402" t="s">
        <v>105</v>
      </c>
      <c r="B55" s="451">
        <v>0</v>
      </c>
      <c r="C55" s="450">
        <f>VLOOKUP(A55,BFIA,8,)</f>
        <v>-440000</v>
      </c>
      <c r="D55" s="450">
        <f>'ASIENTOS FISCALES 2015'!F57*-1</f>
        <v>-135000</v>
      </c>
      <c r="E55" s="450">
        <f>+B55+C55+D55</f>
        <v>-575000</v>
      </c>
    </row>
    <row r="56" spans="1:5" x14ac:dyDescent="0.2">
      <c r="A56" s="402" t="s">
        <v>106</v>
      </c>
      <c r="B56" s="451">
        <f>BALANCES!C50</f>
        <v>0</v>
      </c>
      <c r="C56" s="450">
        <f>VLOOKUP(A56,BFIA,8,)</f>
        <v>-1517919.2599221512</v>
      </c>
      <c r="D56" s="450">
        <f>-'ASIENTOS FISCALES 2015'!K62</f>
        <v>-15429031.955233656</v>
      </c>
      <c r="E56" s="450">
        <f>+B56+C56+D56</f>
        <v>-16946951.215155806</v>
      </c>
    </row>
    <row r="57" spans="1:5" x14ac:dyDescent="0.2">
      <c r="A57" s="391" t="s">
        <v>28</v>
      </c>
      <c r="B57" s="452">
        <f>SUM(B52:B56)</f>
        <v>-6457271.3300000001</v>
      </c>
      <c r="C57" s="452"/>
      <c r="D57" s="452"/>
      <c r="E57" s="452">
        <f>SUM(E52:E56)</f>
        <v>-23979222.545155808</v>
      </c>
    </row>
    <row r="58" spans="1:5" x14ac:dyDescent="0.2">
      <c r="A58" s="402"/>
      <c r="B58" s="451"/>
      <c r="C58" s="451"/>
      <c r="D58" s="451"/>
      <c r="E58" s="451"/>
    </row>
    <row r="59" spans="1:5" x14ac:dyDescent="0.2">
      <c r="A59" s="436" t="s">
        <v>29</v>
      </c>
      <c r="B59" s="453">
        <f>+B57+B49+B44</f>
        <v>-11655833.33</v>
      </c>
      <c r="C59" s="453"/>
      <c r="D59" s="453"/>
      <c r="E59" s="453">
        <f>+E57+E49+E44</f>
        <v>-28577784.545155808</v>
      </c>
    </row>
    <row r="60" spans="1:5" x14ac:dyDescent="0.2">
      <c r="A60" s="402"/>
      <c r="B60" s="452">
        <f>+B38+B59</f>
        <v>3.3333320170640945E-3</v>
      </c>
      <c r="C60" s="454">
        <f>SUM(C10:C59)</f>
        <v>0</v>
      </c>
      <c r="D60" s="454">
        <f>SUM(D10:D59)</f>
        <v>0</v>
      </c>
      <c r="E60" s="452">
        <f>+E38+E59</f>
        <v>3.3333301544189453E-3</v>
      </c>
    </row>
  </sheetData>
  <autoFilter ref="A1:E60"/>
  <mergeCells count="6">
    <mergeCell ref="F16:G16"/>
    <mergeCell ref="E5:E9"/>
    <mergeCell ref="A5:A9"/>
    <mergeCell ref="B5:B9"/>
    <mergeCell ref="C5:C9"/>
    <mergeCell ref="D5:D9"/>
  </mergeCells>
  <phoneticPr fontId="0" type="noConversion"/>
  <pageMargins left="0.75" right="0.24" top="0.35" bottom="0.38" header="0" footer="0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zoomScaleNormal="100" workbookViewId="0">
      <selection sqref="A1:XFD1048576"/>
    </sheetView>
  </sheetViews>
  <sheetFormatPr baseColWidth="10" defaultRowHeight="12.75" x14ac:dyDescent="0.2"/>
  <cols>
    <col min="1" max="1" width="12.7109375" style="378" bestFit="1" customWidth="1"/>
    <col min="2" max="2" width="19.42578125" style="515" bestFit="1" customWidth="1"/>
    <col min="3" max="3" width="16" style="515" customWidth="1"/>
    <col min="4" max="4" width="16.85546875" style="515" customWidth="1"/>
    <col min="5" max="5" width="20.85546875" style="524" bestFit="1" customWidth="1"/>
    <col min="6" max="6" width="19.85546875" style="524" bestFit="1" customWidth="1"/>
    <col min="7" max="7" width="13.28515625" style="524" bestFit="1" customWidth="1"/>
    <col min="8" max="8" width="16.28515625" style="524" bestFit="1" customWidth="1"/>
    <col min="9" max="9" width="12.28515625" style="409" bestFit="1" customWidth="1"/>
    <col min="10" max="13" width="11.42578125" style="409"/>
    <col min="14" max="16384" width="11.42578125" style="378"/>
  </cols>
  <sheetData>
    <row r="1" spans="1:9" ht="15.75" x14ac:dyDescent="0.25">
      <c r="A1" s="523" t="s">
        <v>55</v>
      </c>
      <c r="B1" s="523"/>
      <c r="C1" s="523"/>
      <c r="D1" s="523"/>
      <c r="E1" s="523"/>
      <c r="F1" s="523"/>
      <c r="G1" s="523"/>
      <c r="H1" s="523"/>
    </row>
    <row r="4" spans="1:9" x14ac:dyDescent="0.2">
      <c r="C4" s="520"/>
    </row>
    <row r="5" spans="1:9" x14ac:dyDescent="0.2">
      <c r="A5" s="525" t="s">
        <v>50</v>
      </c>
      <c r="B5" s="526"/>
      <c r="C5" s="526"/>
      <c r="D5" s="526"/>
      <c r="E5" s="526"/>
      <c r="F5" s="526"/>
      <c r="G5" s="526"/>
      <c r="H5" s="527"/>
    </row>
    <row r="6" spans="1:9" x14ac:dyDescent="0.2">
      <c r="A6" s="528"/>
      <c r="B6" s="529"/>
      <c r="C6" s="529"/>
      <c r="D6" s="529"/>
      <c r="E6" s="530"/>
      <c r="F6" s="530"/>
      <c r="G6" s="530"/>
      <c r="H6" s="531"/>
    </row>
    <row r="7" spans="1:9" x14ac:dyDescent="0.2">
      <c r="A7" s="532"/>
      <c r="B7" s="533" t="s">
        <v>44</v>
      </c>
      <c r="C7" s="533" t="s">
        <v>38</v>
      </c>
      <c r="D7" s="533" t="s">
        <v>40</v>
      </c>
      <c r="E7" s="534" t="s">
        <v>249</v>
      </c>
      <c r="F7" s="534" t="s">
        <v>263</v>
      </c>
      <c r="G7" s="534" t="s">
        <v>60</v>
      </c>
      <c r="H7" s="535" t="s">
        <v>79</v>
      </c>
    </row>
    <row r="8" spans="1:9" x14ac:dyDescent="0.2">
      <c r="A8" s="532" t="s">
        <v>51</v>
      </c>
      <c r="B8" s="536">
        <v>150000</v>
      </c>
      <c r="C8" s="536" t="s">
        <v>52</v>
      </c>
      <c r="D8" s="537">
        <v>41730</v>
      </c>
      <c r="E8" s="538">
        <v>-100000</v>
      </c>
      <c r="F8" s="538">
        <v>-150000</v>
      </c>
      <c r="G8" s="538">
        <f>+B8+E8</f>
        <v>50000</v>
      </c>
      <c r="H8" s="531">
        <f>+F8+B8</f>
        <v>0</v>
      </c>
    </row>
    <row r="9" spans="1:9" x14ac:dyDescent="0.2">
      <c r="A9" s="539" t="s">
        <v>53</v>
      </c>
      <c r="B9" s="519">
        <v>180000</v>
      </c>
      <c r="C9" s="519" t="s">
        <v>52</v>
      </c>
      <c r="D9" s="540">
        <v>42095</v>
      </c>
      <c r="E9" s="541"/>
      <c r="F9" s="541">
        <v>-120000</v>
      </c>
      <c r="G9" s="541">
        <v>0</v>
      </c>
      <c r="H9" s="542">
        <f>+B9+F9</f>
        <v>60000</v>
      </c>
    </row>
    <row r="10" spans="1:9" x14ac:dyDescent="0.2">
      <c r="A10" s="532"/>
      <c r="B10" s="536">
        <f>SUM(B8:B9)</f>
        <v>330000</v>
      </c>
      <c r="C10" s="536"/>
      <c r="D10" s="537"/>
      <c r="E10" s="538">
        <f>SUM(E8:E9)</f>
        <v>-100000</v>
      </c>
      <c r="F10" s="538">
        <f>SUM(F8:F9)</f>
        <v>-270000</v>
      </c>
      <c r="G10" s="538"/>
      <c r="H10" s="538"/>
      <c r="I10" s="406"/>
    </row>
    <row r="11" spans="1:9" x14ac:dyDescent="0.2">
      <c r="A11" s="532"/>
      <c r="B11" s="536"/>
      <c r="C11" s="536"/>
      <c r="D11" s="537"/>
      <c r="E11" s="538"/>
      <c r="F11" s="538"/>
      <c r="G11" s="538"/>
      <c r="H11" s="538"/>
      <c r="I11" s="406"/>
    </row>
    <row r="12" spans="1:9" x14ac:dyDescent="0.2">
      <c r="A12" s="532"/>
      <c r="B12" s="536"/>
      <c r="C12" s="536"/>
      <c r="D12" s="537"/>
      <c r="E12" s="538"/>
      <c r="F12" s="538"/>
      <c r="G12" s="538"/>
      <c r="H12" s="538"/>
      <c r="I12" s="406"/>
    </row>
    <row r="13" spans="1:9" x14ac:dyDescent="0.2">
      <c r="A13" s="532"/>
      <c r="B13" s="536"/>
      <c r="C13" s="536"/>
      <c r="D13" s="537"/>
      <c r="E13" s="538"/>
      <c r="F13" s="538"/>
      <c r="G13" s="538"/>
      <c r="H13" s="538"/>
      <c r="I13" s="406"/>
    </row>
    <row r="15" spans="1:9" x14ac:dyDescent="0.2">
      <c r="A15" s="525" t="s">
        <v>45</v>
      </c>
      <c r="B15" s="526"/>
      <c r="C15" s="526"/>
      <c r="D15" s="526"/>
      <c r="E15" s="526"/>
      <c r="F15" s="526"/>
      <c r="G15" s="526"/>
      <c r="H15" s="527"/>
    </row>
    <row r="16" spans="1:9" x14ac:dyDescent="0.2">
      <c r="A16" s="532"/>
      <c r="B16" s="536"/>
      <c r="C16" s="536"/>
      <c r="D16" s="536"/>
      <c r="E16" s="538"/>
      <c r="F16" s="538"/>
      <c r="G16" s="538"/>
      <c r="H16" s="531"/>
    </row>
    <row r="17" spans="1:10" ht="13.5" x14ac:dyDescent="0.25">
      <c r="A17" s="532"/>
      <c r="B17" s="533" t="s">
        <v>57</v>
      </c>
      <c r="C17" s="533" t="s">
        <v>38</v>
      </c>
      <c r="D17" s="533" t="s">
        <v>40</v>
      </c>
      <c r="E17" s="534" t="s">
        <v>250</v>
      </c>
      <c r="F17" s="534" t="s">
        <v>264</v>
      </c>
      <c r="G17" s="543" t="s">
        <v>251</v>
      </c>
      <c r="H17" s="543" t="s">
        <v>265</v>
      </c>
      <c r="I17" s="544"/>
      <c r="J17" s="406"/>
    </row>
    <row r="18" spans="1:10" x14ac:dyDescent="0.2">
      <c r="A18" s="532" t="s">
        <v>34</v>
      </c>
      <c r="B18" s="536">
        <v>1000000</v>
      </c>
      <c r="C18" s="536" t="s">
        <v>39</v>
      </c>
      <c r="D18" s="545">
        <v>41760</v>
      </c>
      <c r="E18" s="538">
        <f>B18/120*G18*-1</f>
        <v>-66666.666666666672</v>
      </c>
      <c r="F18" s="538">
        <f>+B18/120*H18*-1</f>
        <v>-166666.66666666669</v>
      </c>
      <c r="G18" s="538">
        <v>8</v>
      </c>
      <c r="H18" s="531">
        <f>+G18+12</f>
        <v>20</v>
      </c>
      <c r="I18" s="406"/>
      <c r="J18" s="406"/>
    </row>
    <row r="19" spans="1:10" x14ac:dyDescent="0.2">
      <c r="A19" s="532" t="s">
        <v>35</v>
      </c>
      <c r="B19" s="536">
        <v>500000</v>
      </c>
      <c r="C19" s="536" t="s">
        <v>39</v>
      </c>
      <c r="D19" s="545">
        <v>41883</v>
      </c>
      <c r="E19" s="538">
        <f>+B19/120*G19*-1</f>
        <v>-16666.666666666668</v>
      </c>
      <c r="F19" s="538">
        <f>+B19/120*H19*-1</f>
        <v>-66666.666666666672</v>
      </c>
      <c r="G19" s="538">
        <v>4</v>
      </c>
      <c r="H19" s="531">
        <f>+G19+12</f>
        <v>16</v>
      </c>
      <c r="I19" s="406"/>
      <c r="J19" s="406"/>
    </row>
    <row r="20" spans="1:10" x14ac:dyDescent="0.2">
      <c r="A20" s="532" t="s">
        <v>36</v>
      </c>
      <c r="B20" s="536">
        <v>1500000</v>
      </c>
      <c r="C20" s="536" t="s">
        <v>39</v>
      </c>
      <c r="D20" s="545">
        <v>41974</v>
      </c>
      <c r="E20" s="538">
        <f>+B20/120*G20*-1</f>
        <v>0</v>
      </c>
      <c r="F20" s="538">
        <f>+B20/120*H20*-1</f>
        <v>-150000</v>
      </c>
      <c r="G20" s="538">
        <v>0</v>
      </c>
      <c r="H20" s="531">
        <f>+G20+12</f>
        <v>12</v>
      </c>
      <c r="I20" s="406"/>
      <c r="J20" s="406"/>
    </row>
    <row r="21" spans="1:10" x14ac:dyDescent="0.2">
      <c r="A21" s="532" t="s">
        <v>37</v>
      </c>
      <c r="B21" s="519">
        <v>1000000</v>
      </c>
      <c r="C21" s="519" t="s">
        <v>39</v>
      </c>
      <c r="D21" s="546">
        <v>42064</v>
      </c>
      <c r="E21" s="541"/>
      <c r="F21" s="541">
        <f>+B21/120*H21*-1</f>
        <v>-83333.333333333343</v>
      </c>
      <c r="G21" s="538"/>
      <c r="H21" s="531">
        <v>10</v>
      </c>
      <c r="I21" s="406"/>
      <c r="J21" s="406"/>
    </row>
    <row r="22" spans="1:10" x14ac:dyDescent="0.2">
      <c r="A22" s="532"/>
      <c r="B22" s="536">
        <f>SUM(B18:B21)</f>
        <v>4000000</v>
      </c>
      <c r="C22" s="536"/>
      <c r="D22" s="536"/>
      <c r="E22" s="538">
        <f>SUM(E18:E21)</f>
        <v>-83333.333333333343</v>
      </c>
      <c r="F22" s="538">
        <f>SUM(F18:F21)</f>
        <v>-466666.66666666674</v>
      </c>
      <c r="G22" s="538"/>
      <c r="H22" s="531"/>
    </row>
    <row r="23" spans="1:10" x14ac:dyDescent="0.2">
      <c r="A23" s="532"/>
      <c r="B23" s="536"/>
      <c r="C23" s="536"/>
      <c r="D23" s="536"/>
      <c r="E23" s="538"/>
      <c r="F23" s="538"/>
      <c r="G23" s="538"/>
      <c r="H23" s="531"/>
    </row>
    <row r="24" spans="1:10" x14ac:dyDescent="0.2">
      <c r="A24" s="532"/>
      <c r="B24" s="536"/>
      <c r="C24" s="536"/>
      <c r="D24" s="536"/>
      <c r="E24" s="538"/>
      <c r="F24" s="538"/>
      <c r="G24" s="538"/>
      <c r="H24" s="531"/>
    </row>
    <row r="25" spans="1:10" x14ac:dyDescent="0.2">
      <c r="A25" s="532" t="s">
        <v>41</v>
      </c>
      <c r="B25" s="536">
        <v>400000</v>
      </c>
      <c r="C25" s="536" t="s">
        <v>43</v>
      </c>
      <c r="D25" s="547">
        <v>41791</v>
      </c>
      <c r="E25" s="538">
        <f>B25/60*G25*-1</f>
        <v>-46666.666666666672</v>
      </c>
      <c r="F25" s="538">
        <f>+B25/60*H25*-1</f>
        <v>-126666.66666666667</v>
      </c>
      <c r="G25" s="538">
        <v>7</v>
      </c>
      <c r="H25" s="531">
        <f>+G25+12</f>
        <v>19</v>
      </c>
    </row>
    <row r="26" spans="1:10" x14ac:dyDescent="0.2">
      <c r="A26" s="532" t="s">
        <v>42</v>
      </c>
      <c r="B26" s="519">
        <v>250000</v>
      </c>
      <c r="C26" s="519" t="s">
        <v>43</v>
      </c>
      <c r="D26" s="548">
        <v>42217</v>
      </c>
      <c r="E26" s="541"/>
      <c r="F26" s="538">
        <f>+B26/60*H26*-1</f>
        <v>-20833.333333333336</v>
      </c>
      <c r="G26" s="538"/>
      <c r="H26" s="531">
        <v>5</v>
      </c>
    </row>
    <row r="27" spans="1:10" x14ac:dyDescent="0.2">
      <c r="A27" s="532"/>
      <c r="B27" s="549">
        <f>SUM(B25:B26)</f>
        <v>650000</v>
      </c>
      <c r="C27" s="549"/>
      <c r="D27" s="549"/>
      <c r="E27" s="550">
        <f>SUM(E25:E26)</f>
        <v>-46666.666666666672</v>
      </c>
      <c r="F27" s="550">
        <f>SUM(F25:F26)</f>
        <v>-147500</v>
      </c>
      <c r="G27" s="538"/>
      <c r="H27" s="531"/>
    </row>
    <row r="28" spans="1:10" x14ac:dyDescent="0.2">
      <c r="A28" s="532" t="s">
        <v>49</v>
      </c>
      <c r="B28" s="536">
        <f>+B22+B27</f>
        <v>4650000</v>
      </c>
      <c r="C28" s="536"/>
      <c r="D28" s="536"/>
      <c r="E28" s="538">
        <f>+E22+E27</f>
        <v>-130000.00000000001</v>
      </c>
      <c r="F28" s="538">
        <f>+F22+F27</f>
        <v>-614166.66666666674</v>
      </c>
      <c r="G28" s="538"/>
      <c r="H28" s="531"/>
    </row>
    <row r="29" spans="1:10" x14ac:dyDescent="0.2">
      <c r="A29" s="532"/>
      <c r="B29" s="536"/>
      <c r="C29" s="536"/>
      <c r="D29" s="536"/>
      <c r="E29" s="538"/>
      <c r="F29" s="538"/>
      <c r="G29" s="538"/>
      <c r="H29" s="531"/>
    </row>
    <row r="30" spans="1:10" x14ac:dyDescent="0.2">
      <c r="A30" s="532" t="s">
        <v>63</v>
      </c>
      <c r="B30" s="536">
        <v>2000000</v>
      </c>
      <c r="C30" s="536"/>
      <c r="D30" s="545">
        <v>41730</v>
      </c>
      <c r="E30" s="538"/>
      <c r="F30" s="538"/>
      <c r="G30" s="538"/>
      <c r="H30" s="531"/>
    </row>
    <row r="31" spans="1:10" x14ac:dyDescent="0.2">
      <c r="A31" s="532"/>
      <c r="B31" s="536"/>
      <c r="C31" s="536"/>
      <c r="D31" s="536"/>
      <c r="E31" s="538"/>
      <c r="F31" s="538"/>
      <c r="G31" s="538"/>
      <c r="H31" s="531"/>
    </row>
    <row r="32" spans="1:10" x14ac:dyDescent="0.2">
      <c r="A32" s="539"/>
      <c r="B32" s="519"/>
      <c r="C32" s="519"/>
      <c r="D32" s="519"/>
      <c r="E32" s="541"/>
      <c r="F32" s="541"/>
      <c r="G32" s="541"/>
      <c r="H32" s="542"/>
    </row>
    <row r="33" spans="1:8" x14ac:dyDescent="0.2">
      <c r="A33" s="551"/>
      <c r="B33" s="536"/>
      <c r="C33" s="536"/>
      <c r="D33" s="536"/>
      <c r="E33" s="538"/>
      <c r="F33" s="552"/>
      <c r="G33" s="552"/>
      <c r="H33" s="552"/>
    </row>
    <row r="34" spans="1:8" x14ac:dyDescent="0.2">
      <c r="A34" s="551"/>
      <c r="B34" s="536"/>
      <c r="C34" s="536"/>
      <c r="D34" s="536"/>
      <c r="E34" s="538"/>
      <c r="F34" s="538"/>
      <c r="G34" s="538"/>
      <c r="H34" s="538"/>
    </row>
    <row r="35" spans="1:8" x14ac:dyDescent="0.2">
      <c r="A35" s="551"/>
      <c r="B35" s="536"/>
      <c r="C35" s="536"/>
      <c r="D35" s="536"/>
      <c r="E35" s="538"/>
      <c r="F35" s="538"/>
      <c r="G35" s="538"/>
      <c r="H35" s="538"/>
    </row>
    <row r="36" spans="1:8" x14ac:dyDescent="0.2">
      <c r="A36" s="551"/>
      <c r="B36" s="536"/>
      <c r="C36" s="536"/>
      <c r="D36" s="533" t="s">
        <v>112</v>
      </c>
      <c r="E36" s="538"/>
      <c r="F36" s="538"/>
      <c r="G36" s="538"/>
      <c r="H36" s="538"/>
    </row>
    <row r="37" spans="1:8" ht="15.75" x14ac:dyDescent="0.25">
      <c r="B37" s="553" t="s">
        <v>113</v>
      </c>
      <c r="C37" s="553"/>
      <c r="D37" s="553">
        <v>10000</v>
      </c>
    </row>
    <row r="38" spans="1:8" ht="15.75" x14ac:dyDescent="0.25">
      <c r="B38" s="554">
        <v>42005</v>
      </c>
      <c r="C38" s="553"/>
      <c r="D38" s="553">
        <v>0</v>
      </c>
    </row>
    <row r="39" spans="1:8" ht="15.75" x14ac:dyDescent="0.25">
      <c r="B39" s="554">
        <v>42036</v>
      </c>
      <c r="C39" s="553"/>
      <c r="D39" s="553">
        <v>0</v>
      </c>
    </row>
    <row r="40" spans="1:8" ht="15.75" x14ac:dyDescent="0.25">
      <c r="B40" s="554">
        <v>42064</v>
      </c>
      <c r="C40" s="553"/>
      <c r="D40" s="553">
        <v>-5000</v>
      </c>
    </row>
    <row r="41" spans="1:8" ht="15.75" x14ac:dyDescent="0.25">
      <c r="B41" s="554">
        <v>42095</v>
      </c>
      <c r="C41" s="553"/>
      <c r="D41" s="553">
        <v>0</v>
      </c>
    </row>
    <row r="42" spans="1:8" ht="15.75" x14ac:dyDescent="0.25">
      <c r="B42" s="554">
        <v>42125</v>
      </c>
      <c r="C42" s="553"/>
      <c r="D42" s="553">
        <v>-5000</v>
      </c>
    </row>
    <row r="43" spans="1:8" ht="15.75" x14ac:dyDescent="0.25">
      <c r="B43" s="554">
        <v>42156</v>
      </c>
      <c r="C43" s="553"/>
      <c r="D43" s="553">
        <v>0</v>
      </c>
    </row>
    <row r="44" spans="1:8" ht="15.75" x14ac:dyDescent="0.25">
      <c r="B44" s="554">
        <v>42186</v>
      </c>
      <c r="C44" s="553"/>
      <c r="D44" s="553">
        <v>10000</v>
      </c>
    </row>
    <row r="45" spans="1:8" ht="15.75" x14ac:dyDescent="0.25">
      <c r="B45" s="554">
        <v>42217</v>
      </c>
      <c r="C45" s="553"/>
      <c r="D45" s="553">
        <v>0</v>
      </c>
    </row>
    <row r="46" spans="1:8" ht="15.75" x14ac:dyDescent="0.25">
      <c r="B46" s="554">
        <v>42248</v>
      </c>
      <c r="C46" s="553"/>
      <c r="D46" s="553">
        <v>-10000</v>
      </c>
    </row>
    <row r="47" spans="1:8" ht="15.75" x14ac:dyDescent="0.25">
      <c r="B47" s="554">
        <v>42278</v>
      </c>
      <c r="C47" s="553"/>
      <c r="D47" s="553">
        <v>0</v>
      </c>
    </row>
    <row r="48" spans="1:8" ht="15.75" x14ac:dyDescent="0.25">
      <c r="B48" s="554">
        <v>42309</v>
      </c>
      <c r="C48" s="553"/>
      <c r="D48" s="553">
        <v>0</v>
      </c>
    </row>
    <row r="49" spans="2:6" ht="15.75" x14ac:dyDescent="0.25">
      <c r="B49" s="554">
        <v>42339</v>
      </c>
      <c r="C49" s="553"/>
      <c r="D49" s="555">
        <v>0</v>
      </c>
      <c r="F49" s="538"/>
    </row>
    <row r="50" spans="2:6" ht="15.75" x14ac:dyDescent="0.25">
      <c r="B50" s="553"/>
      <c r="C50" s="553"/>
      <c r="D50" s="556">
        <f>SUM(D37:D49)</f>
        <v>0</v>
      </c>
      <c r="F50" s="416"/>
    </row>
    <row r="51" spans="2:6" ht="15.75" x14ac:dyDescent="0.25">
      <c r="B51" s="553"/>
      <c r="C51" s="553"/>
      <c r="D51" s="553"/>
    </row>
    <row r="52" spans="2:6" ht="15.75" x14ac:dyDescent="0.25">
      <c r="B52" s="553"/>
      <c r="C52" s="553"/>
      <c r="D52" s="553"/>
    </row>
    <row r="53" spans="2:6" ht="15.75" x14ac:dyDescent="0.25">
      <c r="B53" s="553"/>
      <c r="C53" s="553"/>
      <c r="D53" s="556" t="s">
        <v>114</v>
      </c>
    </row>
    <row r="54" spans="2:6" ht="15.75" x14ac:dyDescent="0.25">
      <c r="B54" s="553"/>
      <c r="C54" s="553" t="s">
        <v>113</v>
      </c>
      <c r="D54" s="553">
        <v>50000</v>
      </c>
    </row>
    <row r="55" spans="2:6" ht="15.75" x14ac:dyDescent="0.25">
      <c r="B55" s="554">
        <v>42005</v>
      </c>
      <c r="C55" s="553"/>
      <c r="D55" s="553">
        <v>15000</v>
      </c>
      <c r="E55" s="538"/>
      <c r="F55" s="538"/>
    </row>
    <row r="56" spans="2:6" ht="15.75" x14ac:dyDescent="0.25">
      <c r="B56" s="554">
        <v>42036</v>
      </c>
      <c r="C56" s="553"/>
      <c r="D56" s="553">
        <v>-16000</v>
      </c>
      <c r="E56" s="538"/>
      <c r="F56" s="538"/>
    </row>
    <row r="57" spans="2:6" ht="15.75" x14ac:dyDescent="0.25">
      <c r="B57" s="554">
        <v>42064</v>
      </c>
      <c r="C57" s="553"/>
      <c r="D57" s="553">
        <v>0</v>
      </c>
      <c r="E57" s="538"/>
      <c r="F57" s="538"/>
    </row>
    <row r="58" spans="2:6" ht="15.75" x14ac:dyDescent="0.25">
      <c r="B58" s="554">
        <v>42095</v>
      </c>
      <c r="C58" s="553"/>
      <c r="D58" s="553">
        <v>5000</v>
      </c>
      <c r="E58" s="538"/>
      <c r="F58" s="538"/>
    </row>
    <row r="59" spans="2:6" ht="15.75" x14ac:dyDescent="0.25">
      <c r="B59" s="554">
        <v>42125</v>
      </c>
      <c r="C59" s="553"/>
      <c r="D59" s="553">
        <v>5000</v>
      </c>
      <c r="E59" s="538"/>
      <c r="F59" s="538"/>
    </row>
    <row r="60" spans="2:6" ht="15.75" x14ac:dyDescent="0.25">
      <c r="B60" s="554">
        <v>42156</v>
      </c>
      <c r="C60" s="553"/>
      <c r="D60" s="553">
        <v>-25000</v>
      </c>
      <c r="E60" s="538"/>
      <c r="F60" s="538"/>
    </row>
    <row r="61" spans="2:6" ht="15.75" x14ac:dyDescent="0.25">
      <c r="B61" s="554">
        <v>42186</v>
      </c>
      <c r="C61" s="553"/>
      <c r="D61" s="553">
        <v>-50000</v>
      </c>
      <c r="E61" s="538"/>
      <c r="F61" s="538"/>
    </row>
    <row r="62" spans="2:6" ht="15.75" x14ac:dyDescent="0.25">
      <c r="B62" s="554">
        <v>42217</v>
      </c>
      <c r="C62" s="553"/>
      <c r="D62" s="553">
        <v>14000</v>
      </c>
      <c r="E62" s="538"/>
      <c r="F62" s="538"/>
    </row>
    <row r="63" spans="2:6" ht="15.75" x14ac:dyDescent="0.25">
      <c r="B63" s="554">
        <v>42248</v>
      </c>
      <c r="C63" s="553"/>
      <c r="D63" s="553">
        <v>-10000</v>
      </c>
      <c r="E63" s="538"/>
      <c r="F63" s="538"/>
    </row>
    <row r="64" spans="2:6" ht="15.75" x14ac:dyDescent="0.25">
      <c r="B64" s="554">
        <v>42278</v>
      </c>
      <c r="C64" s="553"/>
      <c r="D64" s="553">
        <v>18000</v>
      </c>
      <c r="E64" s="538"/>
      <c r="F64" s="538"/>
    </row>
    <row r="65" spans="2:6" ht="15.75" x14ac:dyDescent="0.25">
      <c r="B65" s="554">
        <v>42309</v>
      </c>
      <c r="C65" s="553"/>
      <c r="D65" s="553">
        <v>10000</v>
      </c>
      <c r="E65" s="538"/>
      <c r="F65" s="538"/>
    </row>
    <row r="66" spans="2:6" ht="15.75" x14ac:dyDescent="0.25">
      <c r="B66" s="554">
        <v>42339</v>
      </c>
      <c r="C66" s="553"/>
      <c r="D66" s="555">
        <v>9000</v>
      </c>
      <c r="E66" s="538"/>
      <c r="F66" s="538"/>
    </row>
    <row r="67" spans="2:6" ht="15.75" x14ac:dyDescent="0.25">
      <c r="B67" s="553"/>
      <c r="C67" s="553"/>
      <c r="D67" s="556">
        <f>SUM(D54:D66)</f>
        <v>25000</v>
      </c>
      <c r="E67" s="538"/>
      <c r="F67" s="416"/>
    </row>
    <row r="68" spans="2:6" ht="15.75" x14ac:dyDescent="0.25">
      <c r="B68" s="553"/>
      <c r="C68" s="553"/>
      <c r="D68" s="553"/>
    </row>
    <row r="69" spans="2:6" ht="15.75" x14ac:dyDescent="0.25">
      <c r="B69" s="553"/>
      <c r="C69" s="553"/>
      <c r="D69" s="553"/>
    </row>
    <row r="70" spans="2:6" ht="15.75" x14ac:dyDescent="0.25">
      <c r="B70" s="553"/>
      <c r="C70" s="553"/>
      <c r="D70" s="556" t="s">
        <v>11</v>
      </c>
      <c r="E70" s="538" t="s">
        <v>54</v>
      </c>
      <c r="F70" s="538"/>
    </row>
    <row r="71" spans="2:6" ht="15.75" x14ac:dyDescent="0.25">
      <c r="B71" s="553"/>
      <c r="C71" s="553" t="s">
        <v>113</v>
      </c>
      <c r="D71" s="553">
        <v>250000</v>
      </c>
      <c r="E71" s="538" t="s">
        <v>252</v>
      </c>
      <c r="F71" s="538"/>
    </row>
    <row r="72" spans="2:6" ht="15.75" x14ac:dyDescent="0.25">
      <c r="B72" s="554">
        <v>42005</v>
      </c>
      <c r="C72" s="553"/>
      <c r="D72" s="553">
        <v>0</v>
      </c>
      <c r="E72" s="538"/>
      <c r="F72" s="538"/>
    </row>
    <row r="73" spans="2:6" ht="15.75" x14ac:dyDescent="0.25">
      <c r="B73" s="554">
        <v>42036</v>
      </c>
      <c r="C73" s="553"/>
      <c r="D73" s="553">
        <v>0</v>
      </c>
      <c r="E73" s="538"/>
      <c r="F73" s="538"/>
    </row>
    <row r="74" spans="2:6" ht="15.75" x14ac:dyDescent="0.25">
      <c r="B74" s="554">
        <v>42064</v>
      </c>
      <c r="C74" s="553"/>
      <c r="D74" s="553">
        <v>0</v>
      </c>
      <c r="E74" s="538"/>
      <c r="F74" s="538"/>
    </row>
    <row r="75" spans="2:6" ht="15.75" x14ac:dyDescent="0.25">
      <c r="B75" s="554">
        <v>42095</v>
      </c>
      <c r="C75" s="553"/>
      <c r="D75" s="553">
        <v>0</v>
      </c>
      <c r="E75" s="538"/>
      <c r="F75" s="538"/>
    </row>
    <row r="76" spans="2:6" ht="15.75" x14ac:dyDescent="0.25">
      <c r="B76" s="554">
        <v>42125</v>
      </c>
      <c r="C76" s="553"/>
      <c r="D76" s="553">
        <v>0</v>
      </c>
      <c r="E76" s="538"/>
      <c r="F76" s="538"/>
    </row>
    <row r="77" spans="2:6" ht="15.75" x14ac:dyDescent="0.25">
      <c r="B77" s="554">
        <v>42156</v>
      </c>
      <c r="C77" s="553"/>
      <c r="D77" s="553">
        <v>53500</v>
      </c>
      <c r="E77" s="538"/>
      <c r="F77" s="538"/>
    </row>
    <row r="78" spans="2:6" ht="15.75" x14ac:dyDescent="0.25">
      <c r="B78" s="554">
        <v>42186</v>
      </c>
      <c r="C78" s="553"/>
      <c r="D78" s="553">
        <v>0</v>
      </c>
      <c r="E78" s="538"/>
      <c r="F78" s="538"/>
    </row>
    <row r="79" spans="2:6" ht="15.75" x14ac:dyDescent="0.25">
      <c r="B79" s="554">
        <v>42217</v>
      </c>
      <c r="C79" s="553"/>
      <c r="D79" s="553">
        <v>0</v>
      </c>
      <c r="E79" s="538"/>
      <c r="F79" s="538"/>
    </row>
    <row r="80" spans="2:6" ht="15.75" x14ac:dyDescent="0.25">
      <c r="B80" s="554">
        <v>42248</v>
      </c>
      <c r="C80" s="553"/>
      <c r="D80" s="553">
        <v>0</v>
      </c>
      <c r="E80" s="538"/>
      <c r="F80" s="538"/>
    </row>
    <row r="81" spans="2:7" ht="15.75" x14ac:dyDescent="0.25">
      <c r="B81" s="554">
        <v>42278</v>
      </c>
      <c r="C81" s="553"/>
      <c r="D81" s="553">
        <v>0</v>
      </c>
      <c r="E81" s="538"/>
      <c r="F81" s="538"/>
    </row>
    <row r="82" spans="2:7" ht="15.75" x14ac:dyDescent="0.25">
      <c r="B82" s="554">
        <v>42309</v>
      </c>
      <c r="C82" s="553"/>
      <c r="D82" s="553">
        <v>0</v>
      </c>
      <c r="E82" s="538"/>
      <c r="F82" s="538"/>
    </row>
    <row r="83" spans="2:7" ht="15.75" x14ac:dyDescent="0.25">
      <c r="B83" s="554">
        <v>42339</v>
      </c>
      <c r="C83" s="553"/>
      <c r="D83" s="555">
        <v>0</v>
      </c>
      <c r="E83" s="538"/>
      <c r="F83" s="538"/>
    </row>
    <row r="84" spans="2:7" ht="15.75" x14ac:dyDescent="0.25">
      <c r="B84" s="553"/>
      <c r="C84" s="553"/>
      <c r="D84" s="556">
        <f>SUM(D71:D83)</f>
        <v>303500</v>
      </c>
      <c r="E84" s="538"/>
      <c r="F84" s="416"/>
    </row>
    <row r="85" spans="2:7" x14ac:dyDescent="0.2">
      <c r="E85" s="534"/>
      <c r="F85" s="538"/>
      <c r="G85" s="538"/>
    </row>
    <row r="86" spans="2:7" x14ac:dyDescent="0.2">
      <c r="D86" s="557" t="s">
        <v>21</v>
      </c>
      <c r="E86" s="538"/>
      <c r="F86" s="538"/>
      <c r="G86" s="538"/>
    </row>
    <row r="87" spans="2:7" ht="15.75" x14ac:dyDescent="0.25">
      <c r="B87" s="554">
        <v>38018</v>
      </c>
      <c r="D87" s="515">
        <v>-2000000</v>
      </c>
      <c r="E87" s="538"/>
      <c r="F87" s="538"/>
      <c r="G87" s="538"/>
    </row>
    <row r="88" spans="2:7" ht="15.75" x14ac:dyDescent="0.25">
      <c r="B88" s="554">
        <v>41791</v>
      </c>
      <c r="D88" s="519">
        <v>-1000000</v>
      </c>
      <c r="E88" s="538"/>
      <c r="F88" s="538"/>
      <c r="G88" s="538"/>
    </row>
    <row r="89" spans="2:7" ht="15.75" x14ac:dyDescent="0.25">
      <c r="B89" s="554"/>
      <c r="D89" s="549">
        <f>+D87+D88</f>
        <v>-3000000</v>
      </c>
      <c r="E89" s="538"/>
      <c r="F89" s="538"/>
      <c r="G89" s="538"/>
    </row>
    <row r="90" spans="2:7" ht="15.75" x14ac:dyDescent="0.25">
      <c r="B90" s="554">
        <v>42064</v>
      </c>
      <c r="D90" s="519">
        <v>-1000000</v>
      </c>
      <c r="E90" s="538"/>
      <c r="F90" s="538"/>
      <c r="G90" s="538"/>
    </row>
    <row r="91" spans="2:7" x14ac:dyDescent="0.2">
      <c r="D91" s="515">
        <f>+D89+D90</f>
        <v>-4000000</v>
      </c>
      <c r="E91" s="538"/>
      <c r="F91" s="538"/>
      <c r="G91" s="538"/>
    </row>
    <row r="92" spans="2:7" x14ac:dyDescent="0.2">
      <c r="D92" s="557"/>
      <c r="E92" s="534"/>
      <c r="F92" s="538"/>
      <c r="G92" s="538"/>
    </row>
    <row r="93" spans="2:7" x14ac:dyDescent="0.2">
      <c r="D93" s="557" t="s">
        <v>58</v>
      </c>
      <c r="E93" s="538"/>
      <c r="F93" s="538"/>
      <c r="G93" s="538"/>
    </row>
    <row r="94" spans="2:7" ht="15.75" x14ac:dyDescent="0.25">
      <c r="B94" s="554">
        <v>37956</v>
      </c>
      <c r="D94" s="515">
        <v>98562</v>
      </c>
      <c r="E94" s="538"/>
      <c r="F94" s="538"/>
      <c r="G94" s="538"/>
    </row>
    <row r="95" spans="2:7" ht="15.75" x14ac:dyDescent="0.25">
      <c r="B95" s="554">
        <v>38322</v>
      </c>
      <c r="D95" s="519">
        <v>-1695750</v>
      </c>
      <c r="E95" s="538"/>
      <c r="F95" s="538"/>
      <c r="G95" s="538"/>
    </row>
    <row r="96" spans="2:7" x14ac:dyDescent="0.2">
      <c r="D96" s="515">
        <f>SUM(D94:D95)</f>
        <v>-1597188</v>
      </c>
      <c r="E96" s="538"/>
      <c r="F96" s="538"/>
      <c r="G96" s="538"/>
    </row>
    <row r="97" spans="2:7" x14ac:dyDescent="0.2">
      <c r="E97" s="534"/>
      <c r="F97" s="538"/>
      <c r="G97" s="538"/>
    </row>
    <row r="98" spans="2:7" x14ac:dyDescent="0.2">
      <c r="D98" s="557" t="s">
        <v>59</v>
      </c>
      <c r="E98" s="538"/>
      <c r="F98" s="538"/>
      <c r="G98" s="538"/>
    </row>
    <row r="99" spans="2:7" ht="15.75" x14ac:dyDescent="0.25">
      <c r="B99" s="554">
        <v>38322</v>
      </c>
      <c r="D99" s="515">
        <v>-89250</v>
      </c>
      <c r="E99" s="538"/>
      <c r="F99" s="538"/>
      <c r="G99" s="538"/>
    </row>
    <row r="100" spans="2:7" x14ac:dyDescent="0.2">
      <c r="E100" s="538"/>
      <c r="F100" s="538"/>
      <c r="G100" s="538"/>
    </row>
    <row r="101" spans="2:7" x14ac:dyDescent="0.2">
      <c r="E101" s="538"/>
      <c r="F101" s="538"/>
      <c r="G101" s="538"/>
    </row>
    <row r="102" spans="2:7" x14ac:dyDescent="0.2">
      <c r="E102" s="538"/>
      <c r="F102" s="538"/>
      <c r="G102" s="538"/>
    </row>
    <row r="103" spans="2:7" x14ac:dyDescent="0.2">
      <c r="E103" s="538"/>
      <c r="F103" s="538"/>
      <c r="G103" s="538"/>
    </row>
  </sheetData>
  <mergeCells count="3">
    <mergeCell ref="A15:H15"/>
    <mergeCell ref="A1:H1"/>
    <mergeCell ref="A5:H5"/>
  </mergeCells>
  <phoneticPr fontId="0" type="noConversion"/>
  <pageMargins left="0.17" right="0.17" top="0.32" bottom="0.26" header="0" footer="0"/>
  <pageSetup paperSize="9" scale="76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activeCell="O21" sqref="O21"/>
    </sheetView>
  </sheetViews>
  <sheetFormatPr baseColWidth="10" defaultRowHeight="12.75" x14ac:dyDescent="0.2"/>
  <sheetData>
    <row r="1" spans="2:13" ht="13.5" thickBot="1" x14ac:dyDescent="0.25">
      <c r="C1" s="482" t="s">
        <v>280</v>
      </c>
      <c r="D1" s="483"/>
      <c r="E1" s="484"/>
      <c r="G1" s="482" t="s">
        <v>279</v>
      </c>
      <c r="H1" s="483"/>
      <c r="I1" s="484"/>
      <c r="K1" s="482" t="s">
        <v>292</v>
      </c>
      <c r="L1" s="483"/>
      <c r="M1" s="484"/>
    </row>
    <row r="2" spans="2:13" ht="13.5" thickBot="1" x14ac:dyDescent="0.25">
      <c r="C2" s="371" t="s">
        <v>283</v>
      </c>
      <c r="D2" s="372" t="s">
        <v>281</v>
      </c>
      <c r="E2" s="373" t="s">
        <v>282</v>
      </c>
      <c r="G2" s="371" t="s">
        <v>283</v>
      </c>
      <c r="H2" s="372" t="s">
        <v>281</v>
      </c>
      <c r="I2" s="373" t="s">
        <v>282</v>
      </c>
      <c r="K2" s="371" t="s">
        <v>283</v>
      </c>
      <c r="L2" s="372" t="s">
        <v>281</v>
      </c>
      <c r="M2" s="373" t="s">
        <v>282</v>
      </c>
    </row>
    <row r="3" spans="2:13" x14ac:dyDescent="0.2">
      <c r="B3" s="1"/>
      <c r="C3" s="459">
        <v>42339</v>
      </c>
      <c r="D3" s="460">
        <v>2357.9</v>
      </c>
      <c r="E3" s="461">
        <v>8.6999999999999993</v>
      </c>
      <c r="G3" s="459">
        <v>42339</v>
      </c>
      <c r="H3" s="460">
        <v>2146.1</v>
      </c>
      <c r="I3" s="461">
        <v>6.7</v>
      </c>
      <c r="K3" s="558">
        <v>42339</v>
      </c>
      <c r="L3" s="559">
        <f t="shared" ref="L3:L13" si="0">D3</f>
        <v>2357.9</v>
      </c>
      <c r="M3" s="560">
        <v>6.7</v>
      </c>
    </row>
    <row r="4" spans="2:13" x14ac:dyDescent="0.2">
      <c r="B4" s="1"/>
      <c r="C4" s="459">
        <v>42309</v>
      </c>
      <c r="D4" s="460">
        <v>2168.5</v>
      </c>
      <c r="E4" s="461">
        <v>11.1</v>
      </c>
      <c r="G4" s="459">
        <v>42309</v>
      </c>
      <c r="H4" s="460">
        <v>2010.7</v>
      </c>
      <c r="I4" s="461">
        <v>11.1</v>
      </c>
      <c r="K4" s="470">
        <v>42309</v>
      </c>
      <c r="L4" s="474">
        <f t="shared" si="0"/>
        <v>2168.5</v>
      </c>
      <c r="M4" s="471">
        <v>11.1</v>
      </c>
    </row>
    <row r="5" spans="2:13" x14ac:dyDescent="0.2">
      <c r="B5" s="1"/>
      <c r="C5" s="459">
        <v>42278</v>
      </c>
      <c r="D5" s="460">
        <v>1951.3</v>
      </c>
      <c r="E5" s="463">
        <v>11.4</v>
      </c>
      <c r="G5" s="459">
        <v>42278</v>
      </c>
      <c r="H5" s="462">
        <v>1809.7</v>
      </c>
      <c r="I5" s="463">
        <v>9.6999999999999993</v>
      </c>
      <c r="K5" s="470">
        <v>42278</v>
      </c>
      <c r="L5" s="474">
        <f t="shared" si="0"/>
        <v>1951.3</v>
      </c>
      <c r="M5" s="472">
        <v>9.6999999999999993</v>
      </c>
    </row>
    <row r="6" spans="2:13" x14ac:dyDescent="0.2">
      <c r="C6" s="364">
        <v>42248</v>
      </c>
      <c r="D6" s="363">
        <v>1752.1</v>
      </c>
      <c r="E6" s="366">
        <v>11.5</v>
      </c>
      <c r="G6" s="364">
        <v>42248</v>
      </c>
      <c r="H6" s="362">
        <v>1649.8</v>
      </c>
      <c r="I6" s="365">
        <v>10.8</v>
      </c>
      <c r="K6" s="473">
        <v>42248</v>
      </c>
      <c r="L6" s="474">
        <f t="shared" si="0"/>
        <v>1752.1</v>
      </c>
      <c r="M6" s="472">
        <v>10.8</v>
      </c>
    </row>
    <row r="7" spans="2:13" x14ac:dyDescent="0.2">
      <c r="C7" s="364">
        <v>42217</v>
      </c>
      <c r="D7" s="363">
        <v>1570.8</v>
      </c>
      <c r="E7" s="366">
        <v>12.4</v>
      </c>
      <c r="G7" s="364">
        <v>42217</v>
      </c>
      <c r="H7" s="362">
        <v>1489.4</v>
      </c>
      <c r="I7" s="365">
        <v>11.3</v>
      </c>
      <c r="K7" s="473">
        <v>42217</v>
      </c>
      <c r="L7" s="474">
        <f t="shared" si="0"/>
        <v>1570.8</v>
      </c>
      <c r="M7" s="472">
        <v>11.3</v>
      </c>
    </row>
    <row r="8" spans="2:13" x14ac:dyDescent="0.2">
      <c r="C8" s="364">
        <v>42186</v>
      </c>
      <c r="D8" s="363">
        <v>1397.5</v>
      </c>
      <c r="E8" s="366">
        <v>10.8</v>
      </c>
      <c r="G8" s="364">
        <v>42186</v>
      </c>
      <c r="H8" s="362">
        <v>1338.3</v>
      </c>
      <c r="I8" s="365">
        <v>9.9</v>
      </c>
      <c r="K8" s="473">
        <v>42186</v>
      </c>
      <c r="L8" s="474">
        <f t="shared" si="0"/>
        <v>1397.5</v>
      </c>
      <c r="M8" s="472">
        <v>9.9</v>
      </c>
    </row>
    <row r="9" spans="2:13" x14ac:dyDescent="0.2">
      <c r="C9" s="364">
        <v>42156</v>
      </c>
      <c r="D9" s="363">
        <v>1261.5999999999999</v>
      </c>
      <c r="E9" s="366">
        <v>9.8000000000000007</v>
      </c>
      <c r="G9" s="364">
        <v>42156</v>
      </c>
      <c r="H9" s="362">
        <v>1217.5999999999999</v>
      </c>
      <c r="I9" s="365">
        <v>9.1999999999999993</v>
      </c>
      <c r="K9" s="473">
        <v>42156</v>
      </c>
      <c r="L9" s="474">
        <f t="shared" si="0"/>
        <v>1261.5999999999999</v>
      </c>
      <c r="M9" s="472">
        <v>9.1999999999999993</v>
      </c>
    </row>
    <row r="10" spans="2:13" x14ac:dyDescent="0.2">
      <c r="C10" s="364">
        <v>42125</v>
      </c>
      <c r="D10" s="363">
        <v>1148.8</v>
      </c>
      <c r="E10" s="366">
        <v>8</v>
      </c>
      <c r="G10" s="364">
        <v>42125</v>
      </c>
      <c r="H10" s="363">
        <v>1115.0999999999999</v>
      </c>
      <c r="I10" s="366">
        <v>8.6999999999999993</v>
      </c>
      <c r="K10" s="473">
        <v>42125</v>
      </c>
      <c r="L10" s="474">
        <f t="shared" si="0"/>
        <v>1148.8</v>
      </c>
      <c r="M10" s="475">
        <v>8.6999999999999993</v>
      </c>
    </row>
    <row r="11" spans="2:13" x14ac:dyDescent="0.2">
      <c r="C11" s="364">
        <v>42095</v>
      </c>
      <c r="D11" s="363">
        <v>1063.8</v>
      </c>
      <c r="E11" s="366">
        <v>6.4</v>
      </c>
      <c r="G11" s="364">
        <v>42095</v>
      </c>
      <c r="H11" s="363">
        <v>1026.2</v>
      </c>
      <c r="I11" s="366">
        <v>6.1</v>
      </c>
      <c r="K11" s="473">
        <v>42095</v>
      </c>
      <c r="L11" s="474">
        <f t="shared" si="0"/>
        <v>1063.8</v>
      </c>
      <c r="M11" s="475">
        <v>6.1</v>
      </c>
    </row>
    <row r="12" spans="2:13" x14ac:dyDescent="0.2">
      <c r="C12" s="364">
        <v>42064</v>
      </c>
      <c r="D12" s="363">
        <v>1000.2</v>
      </c>
      <c r="E12" s="366">
        <v>5.4</v>
      </c>
      <c r="G12" s="364">
        <v>42064</v>
      </c>
      <c r="H12" s="363">
        <v>967.5</v>
      </c>
      <c r="I12" s="366">
        <v>5.0999999999999996</v>
      </c>
      <c r="K12" s="473">
        <v>42064</v>
      </c>
      <c r="L12" s="474">
        <f t="shared" si="0"/>
        <v>1000.2</v>
      </c>
      <c r="M12" s="475">
        <v>5.0999999999999996</v>
      </c>
    </row>
    <row r="13" spans="2:13" x14ac:dyDescent="0.2">
      <c r="C13" s="364">
        <v>42036</v>
      </c>
      <c r="D13" s="363">
        <v>949.1</v>
      </c>
      <c r="E13" s="366">
        <v>4.9000000000000004</v>
      </c>
      <c r="G13" s="364">
        <v>42036</v>
      </c>
      <c r="H13" s="363">
        <v>920.4</v>
      </c>
      <c r="I13" s="366">
        <v>4.3</v>
      </c>
      <c r="K13" s="473">
        <v>42036</v>
      </c>
      <c r="L13" s="474">
        <f t="shared" si="0"/>
        <v>949.1</v>
      </c>
      <c r="M13" s="475">
        <v>4.3</v>
      </c>
    </row>
    <row r="14" spans="2:13" x14ac:dyDescent="0.2">
      <c r="C14" s="364">
        <v>42005</v>
      </c>
      <c r="D14" s="363">
        <v>904.8</v>
      </c>
      <c r="E14" s="366">
        <v>7.8</v>
      </c>
      <c r="G14" s="364">
        <v>42005</v>
      </c>
      <c r="H14" s="363">
        <v>882.6</v>
      </c>
      <c r="I14" s="366">
        <v>6.8</v>
      </c>
      <c r="K14" s="473">
        <v>42005</v>
      </c>
      <c r="L14" s="474">
        <f>D14</f>
        <v>904.8</v>
      </c>
      <c r="M14" s="475">
        <v>6.8</v>
      </c>
    </row>
    <row r="15" spans="2:13" x14ac:dyDescent="0.2">
      <c r="C15" s="364">
        <v>41974</v>
      </c>
      <c r="D15" s="362">
        <v>839.5</v>
      </c>
      <c r="E15" s="365">
        <v>5.3</v>
      </c>
      <c r="G15" s="364">
        <v>41974</v>
      </c>
      <c r="H15" s="362">
        <v>826.4</v>
      </c>
      <c r="I15" s="365">
        <v>4.5</v>
      </c>
      <c r="K15" s="476">
        <v>41974</v>
      </c>
      <c r="L15" s="477">
        <f>H15</f>
        <v>826.4</v>
      </c>
      <c r="M15" s="478">
        <v>4.5</v>
      </c>
    </row>
    <row r="16" spans="2:13" x14ac:dyDescent="0.2">
      <c r="C16" s="364">
        <v>41944</v>
      </c>
      <c r="D16" s="362">
        <v>797.3</v>
      </c>
      <c r="E16" s="365">
        <v>4.7</v>
      </c>
      <c r="G16" s="364">
        <v>41944</v>
      </c>
      <c r="H16" s="362">
        <v>790.5</v>
      </c>
      <c r="I16" s="365">
        <v>4.9000000000000004</v>
      </c>
      <c r="K16" s="476">
        <v>41944</v>
      </c>
      <c r="L16" s="477">
        <f t="shared" ref="L16:L26" si="1">H16</f>
        <v>790.5</v>
      </c>
      <c r="M16" s="478">
        <v>4.9000000000000004</v>
      </c>
    </row>
    <row r="17" spans="3:13" x14ac:dyDescent="0.2">
      <c r="C17" s="364">
        <v>41913</v>
      </c>
      <c r="D17" s="362">
        <v>761.8</v>
      </c>
      <c r="E17" s="365">
        <v>5</v>
      </c>
      <c r="G17" s="364">
        <v>41913</v>
      </c>
      <c r="H17" s="362">
        <v>753.4</v>
      </c>
      <c r="I17" s="365">
        <v>5.8</v>
      </c>
      <c r="K17" s="476">
        <v>41913</v>
      </c>
      <c r="L17" s="477">
        <f t="shared" si="1"/>
        <v>753.4</v>
      </c>
      <c r="M17" s="478">
        <v>5.8</v>
      </c>
    </row>
    <row r="18" spans="3:13" x14ac:dyDescent="0.2">
      <c r="C18" s="364">
        <v>41883</v>
      </c>
      <c r="D18" s="362">
        <v>725.4</v>
      </c>
      <c r="E18" s="365">
        <v>4.8</v>
      </c>
      <c r="G18" s="364">
        <v>41883</v>
      </c>
      <c r="H18" s="362">
        <v>712.3</v>
      </c>
      <c r="I18" s="365">
        <v>4.2</v>
      </c>
      <c r="K18" s="476">
        <v>41883</v>
      </c>
      <c r="L18" s="477">
        <f t="shared" si="1"/>
        <v>712.3</v>
      </c>
      <c r="M18" s="478">
        <v>4.2</v>
      </c>
    </row>
    <row r="19" spans="3:13" x14ac:dyDescent="0.2">
      <c r="C19" s="364">
        <v>41852</v>
      </c>
      <c r="D19" s="362">
        <v>692.4</v>
      </c>
      <c r="E19" s="365">
        <v>3.9</v>
      </c>
      <c r="G19" s="364">
        <v>41852</v>
      </c>
      <c r="H19" s="362">
        <v>683.3</v>
      </c>
      <c r="I19" s="365">
        <v>3.8</v>
      </c>
      <c r="K19" s="476">
        <v>41852</v>
      </c>
      <c r="L19" s="477">
        <f t="shared" si="1"/>
        <v>683.3</v>
      </c>
      <c r="M19" s="478">
        <v>3.8</v>
      </c>
    </row>
    <row r="20" spans="3:13" x14ac:dyDescent="0.2">
      <c r="C20" s="364">
        <v>41821</v>
      </c>
      <c r="D20" s="362">
        <v>666.2</v>
      </c>
      <c r="E20" s="365">
        <v>4.0999999999999996</v>
      </c>
      <c r="G20" s="364">
        <v>41821</v>
      </c>
      <c r="H20" s="362">
        <v>658</v>
      </c>
      <c r="I20" s="365">
        <v>4.2</v>
      </c>
      <c r="K20" s="476">
        <v>41821</v>
      </c>
      <c r="L20" s="477">
        <f t="shared" si="1"/>
        <v>658</v>
      </c>
      <c r="M20" s="478">
        <v>4.2</v>
      </c>
    </row>
    <row r="21" spans="3:13" x14ac:dyDescent="0.2">
      <c r="C21" s="364">
        <v>41791</v>
      </c>
      <c r="D21" s="362">
        <v>639.70000000000005</v>
      </c>
      <c r="E21" s="365">
        <v>4.4000000000000004</v>
      </c>
      <c r="G21" s="364">
        <v>41791</v>
      </c>
      <c r="H21" s="362">
        <v>631.70000000000005</v>
      </c>
      <c r="I21" s="365">
        <v>4.3</v>
      </c>
      <c r="K21" s="476">
        <v>41791</v>
      </c>
      <c r="L21" s="477">
        <f t="shared" si="1"/>
        <v>631.70000000000005</v>
      </c>
      <c r="M21" s="478">
        <v>4.3</v>
      </c>
    </row>
    <row r="22" spans="3:13" x14ac:dyDescent="0.2">
      <c r="C22" s="364">
        <v>41760</v>
      </c>
      <c r="D22" s="362">
        <v>612.6</v>
      </c>
      <c r="E22" s="365">
        <v>5.7</v>
      </c>
      <c r="G22" s="364">
        <v>41760</v>
      </c>
      <c r="H22" s="362">
        <v>605.5</v>
      </c>
      <c r="I22" s="365">
        <v>5.4</v>
      </c>
      <c r="K22" s="476">
        <v>41760</v>
      </c>
      <c r="L22" s="477">
        <f t="shared" si="1"/>
        <v>605.5</v>
      </c>
      <c r="M22" s="478">
        <v>5.4</v>
      </c>
    </row>
    <row r="23" spans="3:13" x14ac:dyDescent="0.2">
      <c r="C23" s="364">
        <v>41730</v>
      </c>
      <c r="D23" s="362">
        <v>579.4</v>
      </c>
      <c r="E23" s="370">
        <v>5.7</v>
      </c>
      <c r="G23" s="364">
        <v>41730</v>
      </c>
      <c r="H23" s="362">
        <v>574.29999999999995</v>
      </c>
      <c r="I23" s="365">
        <v>4.9000000000000004</v>
      </c>
      <c r="K23" s="476">
        <v>41730</v>
      </c>
      <c r="L23" s="477">
        <f t="shared" si="1"/>
        <v>574.29999999999995</v>
      </c>
      <c r="M23" s="478">
        <v>4.9000000000000004</v>
      </c>
    </row>
    <row r="24" spans="3:13" x14ac:dyDescent="0.2">
      <c r="C24" s="364">
        <v>41699</v>
      </c>
      <c r="D24" s="362">
        <v>548.29999999999995</v>
      </c>
      <c r="E24" s="370">
        <v>4.0999999999999996</v>
      </c>
      <c r="G24" s="364">
        <v>41699</v>
      </c>
      <c r="H24" s="362">
        <v>547.29999999999995</v>
      </c>
      <c r="I24" s="365">
        <v>3.7</v>
      </c>
      <c r="K24" s="476">
        <v>41699</v>
      </c>
      <c r="L24" s="477">
        <f t="shared" si="1"/>
        <v>547.29999999999995</v>
      </c>
      <c r="M24" s="478">
        <v>3.7</v>
      </c>
    </row>
    <row r="25" spans="3:13" x14ac:dyDescent="0.2">
      <c r="C25" s="364">
        <v>41671</v>
      </c>
      <c r="D25" s="362">
        <v>526.79999999999995</v>
      </c>
      <c r="E25" s="370">
        <v>2.4</v>
      </c>
      <c r="G25" s="364">
        <v>41671</v>
      </c>
      <c r="H25" s="362">
        <v>527.9</v>
      </c>
      <c r="I25" s="365">
        <v>2.6</v>
      </c>
      <c r="K25" s="476">
        <v>41671</v>
      </c>
      <c r="L25" s="477">
        <f t="shared" si="1"/>
        <v>527.9</v>
      </c>
      <c r="M25" s="478">
        <v>2.6</v>
      </c>
    </row>
    <row r="26" spans="3:13" ht="13.5" thickBot="1" x14ac:dyDescent="0.25">
      <c r="C26" s="367">
        <v>41640</v>
      </c>
      <c r="D26" s="368">
        <v>514.70000000000005</v>
      </c>
      <c r="E26" s="369">
        <v>3.3</v>
      </c>
      <c r="G26" s="367">
        <v>41640</v>
      </c>
      <c r="H26" s="368">
        <v>514.5</v>
      </c>
      <c r="I26" s="369">
        <v>2.5</v>
      </c>
      <c r="K26" s="479">
        <v>41640</v>
      </c>
      <c r="L26" s="480">
        <f t="shared" si="1"/>
        <v>514.5</v>
      </c>
      <c r="M26" s="481">
        <v>2.5</v>
      </c>
    </row>
  </sheetData>
  <mergeCells count="3">
    <mergeCell ref="C1:E1"/>
    <mergeCell ref="G1:I1"/>
    <mergeCell ref="K1:M1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zoomScale="75" zoomScaleNormal="75" workbookViewId="0">
      <selection activeCell="K10" sqref="K10"/>
    </sheetView>
  </sheetViews>
  <sheetFormatPr baseColWidth="10" defaultRowHeight="18" x14ac:dyDescent="0.25"/>
  <cols>
    <col min="1" max="1" width="47.85546875" style="24" bestFit="1" customWidth="1"/>
    <col min="2" max="2" width="14.5703125" style="24" bestFit="1" customWidth="1"/>
    <col min="3" max="3" width="12.28515625" style="24" bestFit="1" customWidth="1"/>
    <col min="4" max="4" width="12.42578125" style="24" bestFit="1" customWidth="1"/>
    <col min="5" max="5" width="16" style="37" bestFit="1" customWidth="1"/>
    <col min="6" max="6" width="15.85546875" style="24" bestFit="1" customWidth="1"/>
    <col min="7" max="7" width="16.140625" style="24" bestFit="1" customWidth="1"/>
    <col min="8" max="8" width="16.28515625" style="24" bestFit="1" customWidth="1"/>
    <col min="9" max="9" width="17" style="24" bestFit="1" customWidth="1"/>
    <col min="10" max="10" width="16.28515625" style="24" bestFit="1" customWidth="1"/>
    <col min="11" max="11" width="14.28515625" style="24" bestFit="1" customWidth="1"/>
    <col min="12" max="16384" width="11.42578125" style="24"/>
  </cols>
  <sheetData>
    <row r="1" spans="1:11" x14ac:dyDescent="0.25">
      <c r="A1" s="22" t="s">
        <v>80</v>
      </c>
      <c r="B1" s="23"/>
    </row>
    <row r="2" spans="1:11" x14ac:dyDescent="0.25">
      <c r="A2" s="22" t="s">
        <v>95</v>
      </c>
      <c r="B2" s="23"/>
    </row>
    <row r="3" spans="1:11" x14ac:dyDescent="0.25">
      <c r="A3" s="22" t="s">
        <v>82</v>
      </c>
      <c r="B3" s="25">
        <v>42004</v>
      </c>
      <c r="C3" s="24" t="s">
        <v>279</v>
      </c>
      <c r="D3" s="24">
        <f>'IPC-INPC'!H15</f>
        <v>826.4</v>
      </c>
    </row>
    <row r="4" spans="1:11" x14ac:dyDescent="0.25">
      <c r="A4" s="23" t="s">
        <v>116</v>
      </c>
    </row>
    <row r="5" spans="1:11" x14ac:dyDescent="0.25">
      <c r="A5" s="26" t="s">
        <v>94</v>
      </c>
    </row>
    <row r="6" spans="1:11" x14ac:dyDescent="0.25">
      <c r="A6" s="26"/>
    </row>
    <row r="7" spans="1:11" ht="18.75" thickBot="1" x14ac:dyDescent="0.3">
      <c r="A7" s="323" t="s">
        <v>232</v>
      </c>
      <c r="B7" s="323" t="s">
        <v>233</v>
      </c>
      <c r="C7" s="323" t="s">
        <v>234</v>
      </c>
      <c r="D7" s="323" t="s">
        <v>235</v>
      </c>
      <c r="E7" s="324" t="s">
        <v>236</v>
      </c>
      <c r="F7" s="323" t="s">
        <v>237</v>
      </c>
      <c r="G7" s="323" t="s">
        <v>238</v>
      </c>
      <c r="H7" s="323" t="s">
        <v>239</v>
      </c>
      <c r="I7" s="323" t="s">
        <v>240</v>
      </c>
      <c r="J7" s="323" t="s">
        <v>241</v>
      </c>
      <c r="K7" s="323" t="s">
        <v>242</v>
      </c>
    </row>
    <row r="8" spans="1:11" ht="144.75" thickBot="1" x14ac:dyDescent="0.3">
      <c r="A8" s="348" t="s">
        <v>83</v>
      </c>
      <c r="B8" s="27" t="s">
        <v>84</v>
      </c>
      <c r="C8" s="27" t="s">
        <v>85</v>
      </c>
      <c r="D8" s="27" t="s">
        <v>86</v>
      </c>
      <c r="E8" s="38" t="s">
        <v>87</v>
      </c>
      <c r="F8" s="28" t="s">
        <v>88</v>
      </c>
      <c r="G8" s="28" t="s">
        <v>89</v>
      </c>
      <c r="H8" s="28" t="s">
        <v>90</v>
      </c>
      <c r="I8" s="28" t="s">
        <v>91</v>
      </c>
      <c r="J8" s="28" t="s">
        <v>97</v>
      </c>
      <c r="K8" s="28" t="s">
        <v>92</v>
      </c>
    </row>
    <row r="9" spans="1:11" x14ac:dyDescent="0.25">
      <c r="A9" s="347"/>
      <c r="B9" s="30"/>
      <c r="C9" s="30"/>
      <c r="D9" s="30"/>
      <c r="E9" s="39"/>
      <c r="F9" s="30"/>
      <c r="G9" s="31"/>
      <c r="H9" s="31"/>
      <c r="I9" s="31"/>
      <c r="J9" s="31"/>
      <c r="K9" s="31"/>
    </row>
    <row r="10" spans="1:11" x14ac:dyDescent="0.25">
      <c r="A10" s="29" t="s">
        <v>96</v>
      </c>
      <c r="B10" s="344">
        <v>41671</v>
      </c>
      <c r="C10" s="345">
        <f>VLOOKUP(B10,IPC,2,)</f>
        <v>527.9</v>
      </c>
      <c r="D10" s="342">
        <f>VLOOKUP(B10,IPC,2,)</f>
        <v>527.9</v>
      </c>
      <c r="E10" s="343">
        <f>+C10/D10</f>
        <v>1</v>
      </c>
      <c r="F10" s="346">
        <v>0</v>
      </c>
      <c r="G10" s="41">
        <f>+F10*E10</f>
        <v>0</v>
      </c>
      <c r="H10" s="41">
        <v>1050000</v>
      </c>
      <c r="I10" s="41">
        <f>+H10-F10</f>
        <v>1050000</v>
      </c>
      <c r="J10" s="41">
        <f>IF((H10&gt;F10),(G10+I10),IF((H10&lt;F10),(H10*G10)/F10))</f>
        <v>1050000</v>
      </c>
      <c r="K10" s="41">
        <f>+J10-H10</f>
        <v>0</v>
      </c>
    </row>
    <row r="11" spans="1:11" x14ac:dyDescent="0.25">
      <c r="A11" s="29"/>
      <c r="B11" s="342"/>
      <c r="C11" s="342"/>
      <c r="D11" s="342"/>
      <c r="E11" s="343"/>
      <c r="F11" s="346"/>
      <c r="G11" s="41"/>
      <c r="H11" s="41"/>
      <c r="I11" s="41"/>
      <c r="J11" s="41"/>
      <c r="K11" s="41"/>
    </row>
    <row r="12" spans="1:11" x14ac:dyDescent="0.25">
      <c r="A12" s="29"/>
      <c r="B12" s="342"/>
      <c r="C12" s="342"/>
      <c r="D12" s="342"/>
      <c r="E12" s="343"/>
      <c r="F12" s="346"/>
      <c r="G12" s="41"/>
      <c r="H12" s="41"/>
      <c r="I12" s="41"/>
      <c r="J12" s="41"/>
      <c r="K12" s="41"/>
    </row>
    <row r="13" spans="1:11" x14ac:dyDescent="0.25">
      <c r="A13" s="32"/>
      <c r="B13" s="33"/>
      <c r="C13" s="34"/>
      <c r="D13" s="34"/>
      <c r="E13" s="40"/>
      <c r="F13" s="42"/>
      <c r="G13" s="43"/>
      <c r="H13" s="42"/>
      <c r="I13" s="43"/>
      <c r="J13" s="43"/>
      <c r="K13" s="43"/>
    </row>
    <row r="14" spans="1:11" x14ac:dyDescent="0.25">
      <c r="A14" s="29"/>
      <c r="B14" s="32"/>
      <c r="C14" s="34"/>
      <c r="D14" s="34"/>
      <c r="E14" s="40"/>
      <c r="F14" s="43"/>
      <c r="G14" s="43"/>
      <c r="H14" s="43"/>
      <c r="I14" s="43"/>
      <c r="J14" s="43"/>
      <c r="K14" s="43"/>
    </row>
    <row r="15" spans="1:11" x14ac:dyDescent="0.25">
      <c r="A15" s="35" t="s">
        <v>93</v>
      </c>
      <c r="B15" s="36"/>
      <c r="C15" s="36"/>
      <c r="D15" s="36"/>
      <c r="E15" s="40"/>
      <c r="F15" s="42"/>
      <c r="G15" s="42"/>
      <c r="H15" s="42"/>
      <c r="I15" s="42"/>
      <c r="J15" s="42"/>
      <c r="K15" s="42"/>
    </row>
    <row r="19" spans="1:4" x14ac:dyDescent="0.25">
      <c r="A19" s="46" t="s">
        <v>213</v>
      </c>
    </row>
    <row r="21" spans="1:4" x14ac:dyDescent="0.25">
      <c r="A21" s="24" t="str">
        <f>+A10</f>
        <v>INVENTARIO DE MERCANCIA</v>
      </c>
      <c r="B21" s="45">
        <v>0</v>
      </c>
      <c r="C21" s="45"/>
      <c r="D21" s="44"/>
    </row>
    <row r="22" spans="1:4" x14ac:dyDescent="0.25">
      <c r="A22" s="24" t="s">
        <v>214</v>
      </c>
      <c r="B22" s="45"/>
      <c r="C22" s="45">
        <v>0</v>
      </c>
      <c r="D22" s="44"/>
    </row>
    <row r="28" spans="1:4" x14ac:dyDescent="0.25">
      <c r="B28" s="45"/>
      <c r="C28" s="45"/>
    </row>
    <row r="29" spans="1:4" x14ac:dyDescent="0.25">
      <c r="B29" s="45"/>
      <c r="C29" s="45"/>
    </row>
  </sheetData>
  <phoneticPr fontId="0" type="noConversion"/>
  <pageMargins left="0.18" right="0.16" top="0.98425196850393704" bottom="0.98425196850393704" header="0" footer="0"/>
  <pageSetup scale="6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75" zoomScaleNormal="75" workbookViewId="0">
      <selection activeCell="B10" sqref="B10"/>
    </sheetView>
  </sheetViews>
  <sheetFormatPr baseColWidth="10" defaultRowHeight="15.75" x14ac:dyDescent="0.25"/>
  <cols>
    <col min="1" max="1" width="34.5703125" style="52" customWidth="1"/>
    <col min="2" max="2" width="14.42578125" style="52" bestFit="1" customWidth="1"/>
    <col min="3" max="3" width="14.5703125" style="76" bestFit="1" customWidth="1"/>
    <col min="4" max="5" width="11.5703125" style="52" bestFit="1" customWidth="1"/>
    <col min="6" max="7" width="11.85546875" style="52" bestFit="1" customWidth="1"/>
    <col min="8" max="12" width="11.7109375" style="52" bestFit="1" customWidth="1"/>
    <col min="13" max="16384" width="11.42578125" style="52"/>
  </cols>
  <sheetData>
    <row r="1" spans="1:13" x14ac:dyDescent="0.25">
      <c r="A1" s="317" t="s">
        <v>80</v>
      </c>
      <c r="B1" s="19"/>
      <c r="C1" s="19"/>
      <c r="D1" s="19"/>
      <c r="E1" s="19"/>
      <c r="F1" s="49"/>
      <c r="G1" s="50"/>
      <c r="H1" s="51"/>
      <c r="I1" s="51"/>
      <c r="J1" s="51"/>
      <c r="K1" s="51"/>
      <c r="L1" s="51"/>
    </row>
    <row r="2" spans="1:13" x14ac:dyDescent="0.25">
      <c r="A2" s="317" t="s">
        <v>81</v>
      </c>
      <c r="B2" s="19"/>
      <c r="C2" s="19"/>
      <c r="D2" s="19"/>
      <c r="E2" s="19"/>
      <c r="F2" s="49"/>
      <c r="G2" s="50"/>
      <c r="H2" s="51"/>
      <c r="I2" s="51"/>
      <c r="J2" s="51"/>
      <c r="K2" s="51"/>
      <c r="L2" s="51"/>
    </row>
    <row r="3" spans="1:13" ht="18" x14ac:dyDescent="0.25">
      <c r="A3" s="48" t="s">
        <v>64</v>
      </c>
      <c r="B3" s="53">
        <v>42004</v>
      </c>
      <c r="C3" s="19"/>
      <c r="D3" s="24" t="str">
        <f>'INVENTARIO INICIAL'!C3</f>
        <v>IPC</v>
      </c>
      <c r="E3" s="24">
        <f>'IPC-INPC'!H15</f>
        <v>826.4</v>
      </c>
      <c r="F3" s="49"/>
      <c r="G3" s="50"/>
      <c r="H3" s="51"/>
      <c r="I3" s="51"/>
      <c r="J3" s="51"/>
      <c r="K3" s="51"/>
      <c r="L3" s="51"/>
    </row>
    <row r="4" spans="1:13" ht="18" x14ac:dyDescent="0.25">
      <c r="A4" s="54" t="s">
        <v>116</v>
      </c>
      <c r="B4" s="19"/>
      <c r="C4" s="19"/>
      <c r="D4" s="24"/>
      <c r="E4" s="24"/>
      <c r="F4" s="49"/>
      <c r="G4" s="51"/>
      <c r="H4" s="51"/>
      <c r="I4" s="51"/>
      <c r="J4" s="51"/>
      <c r="K4" s="51"/>
      <c r="L4" s="51"/>
    </row>
    <row r="5" spans="1:13" x14ac:dyDescent="0.25">
      <c r="A5" s="55" t="s">
        <v>253</v>
      </c>
      <c r="B5" s="19"/>
      <c r="C5" s="19"/>
      <c r="D5" s="19"/>
      <c r="E5" s="19"/>
      <c r="F5" s="49"/>
      <c r="G5" s="51"/>
      <c r="H5" s="51"/>
      <c r="I5" s="51"/>
      <c r="J5" s="51"/>
      <c r="K5" s="51"/>
      <c r="L5" s="51"/>
    </row>
    <row r="6" spans="1:13" x14ac:dyDescent="0.25">
      <c r="A6" s="55" t="s">
        <v>254</v>
      </c>
      <c r="B6" s="56"/>
      <c r="C6" s="56"/>
      <c r="D6" s="56"/>
      <c r="E6" s="56"/>
      <c r="F6" s="49"/>
      <c r="G6" s="51"/>
      <c r="H6" s="51"/>
      <c r="I6" s="51"/>
      <c r="J6" s="51"/>
      <c r="K6" s="51"/>
      <c r="L6" s="51"/>
    </row>
    <row r="7" spans="1:13" ht="16.5" thickBot="1" x14ac:dyDescent="0.3">
      <c r="A7" s="325" t="s">
        <v>232</v>
      </c>
      <c r="B7" s="326" t="s">
        <v>233</v>
      </c>
      <c r="C7" s="326" t="s">
        <v>234</v>
      </c>
      <c r="D7" s="326" t="s">
        <v>235</v>
      </c>
      <c r="E7" s="326" t="s">
        <v>236</v>
      </c>
      <c r="F7" s="327" t="s">
        <v>237</v>
      </c>
      <c r="G7" s="328" t="s">
        <v>238</v>
      </c>
      <c r="H7" s="328" t="s">
        <v>239</v>
      </c>
      <c r="I7" s="328" t="s">
        <v>243</v>
      </c>
      <c r="J7" s="328" t="s">
        <v>241</v>
      </c>
      <c r="K7" s="328" t="s">
        <v>242</v>
      </c>
      <c r="L7" s="328" t="s">
        <v>244</v>
      </c>
    </row>
    <row r="8" spans="1:13" ht="126" x14ac:dyDescent="0.25">
      <c r="A8" s="57" t="s">
        <v>65</v>
      </c>
      <c r="B8" s="58" t="s">
        <v>66</v>
      </c>
      <c r="C8" s="59" t="s">
        <v>67</v>
      </c>
      <c r="D8" s="59" t="s">
        <v>68</v>
      </c>
      <c r="E8" s="59" t="s">
        <v>76</v>
      </c>
      <c r="F8" s="60" t="s">
        <v>77</v>
      </c>
      <c r="G8" s="61" t="s">
        <v>69</v>
      </c>
      <c r="H8" s="62" t="s">
        <v>70</v>
      </c>
      <c r="I8" s="63" t="s">
        <v>71</v>
      </c>
      <c r="J8" s="64" t="s">
        <v>72</v>
      </c>
      <c r="K8" s="61" t="s">
        <v>73</v>
      </c>
      <c r="L8" s="61" t="s">
        <v>74</v>
      </c>
      <c r="M8" s="65"/>
    </row>
    <row r="9" spans="1:13" x14ac:dyDescent="0.25">
      <c r="A9" s="66"/>
      <c r="B9" s="66"/>
      <c r="C9" s="66"/>
      <c r="D9" s="66"/>
      <c r="E9" s="66"/>
      <c r="F9" s="67"/>
      <c r="G9" s="66"/>
      <c r="H9" s="66"/>
      <c r="I9" s="66"/>
      <c r="J9" s="66"/>
      <c r="K9" s="66"/>
      <c r="L9" s="66"/>
    </row>
    <row r="10" spans="1:13" x14ac:dyDescent="0.25">
      <c r="A10" s="68" t="s">
        <v>51</v>
      </c>
      <c r="B10" s="69">
        <v>41730</v>
      </c>
      <c r="C10" s="66">
        <f>E3</f>
        <v>826.4</v>
      </c>
      <c r="D10" s="47">
        <f>VLOOKUP(B10,IPC,2,)</f>
        <v>574.29999999999995</v>
      </c>
      <c r="E10" s="70">
        <f>+C10/D10</f>
        <v>1.4389691798711475</v>
      </c>
      <c r="F10" s="71">
        <v>150000</v>
      </c>
      <c r="G10" s="72">
        <f>+F10*E10</f>
        <v>215845.37698067212</v>
      </c>
      <c r="H10" s="72">
        <f>+F10/12*8</f>
        <v>100000</v>
      </c>
      <c r="I10" s="71">
        <f>+H10*E10</f>
        <v>143896.91798711475</v>
      </c>
      <c r="J10" s="71">
        <f>+G10-F10</f>
        <v>65845.376980672125</v>
      </c>
      <c r="K10" s="71">
        <f>+I10-H10</f>
        <v>43896.91798711475</v>
      </c>
      <c r="L10" s="72">
        <f>+J10-K10</f>
        <v>21948.458993557375</v>
      </c>
    </row>
    <row r="11" spans="1:13" x14ac:dyDescent="0.25">
      <c r="A11" s="66"/>
      <c r="B11" s="66"/>
      <c r="C11" s="66"/>
      <c r="D11" s="66"/>
      <c r="E11" s="66"/>
      <c r="F11" s="71"/>
      <c r="G11" s="72"/>
      <c r="H11" s="72"/>
      <c r="I11" s="72"/>
      <c r="J11" s="72"/>
      <c r="K11" s="72"/>
      <c r="L11" s="72"/>
    </row>
    <row r="12" spans="1:13" ht="16.5" thickBot="1" x14ac:dyDescent="0.3">
      <c r="A12" s="73" t="s">
        <v>75</v>
      </c>
      <c r="B12" s="74"/>
      <c r="C12" s="74"/>
      <c r="D12" s="74"/>
      <c r="E12" s="74"/>
      <c r="F12" s="75"/>
      <c r="G12" s="75"/>
      <c r="H12" s="75"/>
      <c r="I12" s="75"/>
      <c r="J12" s="75"/>
      <c r="K12" s="75"/>
      <c r="L12" s="75"/>
    </row>
    <row r="15" spans="1:13" ht="18" x14ac:dyDescent="0.25">
      <c r="A15" s="24" t="s">
        <v>4</v>
      </c>
      <c r="B15" s="79">
        <f>+L10</f>
        <v>21948.458993557375</v>
      </c>
      <c r="C15" s="79"/>
    </row>
    <row r="16" spans="1:13" ht="18" x14ac:dyDescent="0.25">
      <c r="A16" s="24" t="s">
        <v>214</v>
      </c>
      <c r="B16" s="79"/>
      <c r="C16" s="79">
        <f>+L10</f>
        <v>21948.458993557375</v>
      </c>
    </row>
    <row r="17" spans="3:3" x14ac:dyDescent="0.25">
      <c r="C17" s="78"/>
    </row>
    <row r="21" spans="3:3" x14ac:dyDescent="0.25">
      <c r="C21" s="78"/>
    </row>
  </sheetData>
  <phoneticPr fontId="0" type="noConversion"/>
  <pageMargins left="0.14000000000000001" right="0.14000000000000001" top="1" bottom="1" header="0" footer="0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B4" zoomScaleNormal="100" workbookViewId="0">
      <selection activeCell="J19" sqref="J19"/>
    </sheetView>
  </sheetViews>
  <sheetFormatPr baseColWidth="10" defaultRowHeight="12.75" x14ac:dyDescent="0.2"/>
  <cols>
    <col min="1" max="1" width="31.7109375" style="378" customWidth="1"/>
    <col min="2" max="2" width="13" style="378" bestFit="1" customWidth="1"/>
    <col min="3" max="3" width="16" style="409" bestFit="1" customWidth="1"/>
    <col min="4" max="4" width="11.28515625" style="378" bestFit="1" customWidth="1"/>
    <col min="5" max="5" width="10.7109375" style="378" bestFit="1" customWidth="1"/>
    <col min="6" max="6" width="13.5703125" style="378" bestFit="1" customWidth="1"/>
    <col min="7" max="7" width="13" style="378" bestFit="1" customWidth="1"/>
    <col min="8" max="13" width="11.85546875" style="378" bestFit="1" customWidth="1"/>
    <col min="14" max="16384" width="11.42578125" style="378"/>
  </cols>
  <sheetData>
    <row r="1" spans="1:14" x14ac:dyDescent="0.2">
      <c r="A1" s="506" t="s">
        <v>80</v>
      </c>
      <c r="B1" s="374"/>
      <c r="C1" s="374"/>
      <c r="D1" s="374"/>
      <c r="E1" s="374"/>
      <c r="F1" s="375"/>
      <c r="G1" s="376"/>
      <c r="H1" s="377"/>
      <c r="I1" s="377"/>
      <c r="J1" s="377"/>
      <c r="K1" s="377"/>
      <c r="L1" s="377"/>
    </row>
    <row r="2" spans="1:14" x14ac:dyDescent="0.2">
      <c r="A2" s="506" t="s">
        <v>81</v>
      </c>
      <c r="B2" s="374"/>
      <c r="C2" s="374"/>
      <c r="D2" s="374"/>
      <c r="E2" s="374"/>
      <c r="F2" s="375" t="str">
        <f>'INVENTARIO INICIAL'!C3</f>
        <v>IPC</v>
      </c>
      <c r="G2" s="377">
        <f>'IPC-INPC'!H15</f>
        <v>826.4</v>
      </c>
      <c r="H2" s="377"/>
      <c r="I2" s="377"/>
      <c r="J2" s="377"/>
      <c r="K2" s="377"/>
      <c r="L2" s="377"/>
    </row>
    <row r="3" spans="1:14" x14ac:dyDescent="0.2">
      <c r="A3" s="506" t="s">
        <v>64</v>
      </c>
      <c r="B3" s="507">
        <v>42004</v>
      </c>
      <c r="C3" s="374"/>
      <c r="D3" s="374"/>
      <c r="E3" s="374"/>
      <c r="F3" s="375"/>
      <c r="G3" s="377"/>
      <c r="H3" s="377"/>
      <c r="I3" s="377"/>
      <c r="J3" s="377"/>
      <c r="K3" s="377"/>
      <c r="L3" s="377"/>
    </row>
    <row r="4" spans="1:14" x14ac:dyDescent="0.2">
      <c r="A4" s="508" t="s">
        <v>116</v>
      </c>
      <c r="B4" s="374"/>
      <c r="C4" s="374"/>
      <c r="E4" s="374"/>
      <c r="F4" s="375"/>
      <c r="G4" s="377"/>
      <c r="H4" s="377"/>
      <c r="I4" s="377"/>
      <c r="J4" s="377"/>
      <c r="K4" s="377"/>
      <c r="L4" s="377"/>
    </row>
    <row r="5" spans="1:14" x14ac:dyDescent="0.2">
      <c r="A5" s="509" t="s">
        <v>255</v>
      </c>
      <c r="B5" s="374"/>
      <c r="C5" s="374"/>
      <c r="D5" s="374"/>
      <c r="E5" s="374"/>
      <c r="F5" s="375"/>
      <c r="G5" s="377"/>
      <c r="H5" s="377"/>
      <c r="I5" s="377"/>
      <c r="J5" s="377"/>
      <c r="K5" s="377"/>
      <c r="L5" s="377"/>
    </row>
    <row r="6" spans="1:14" x14ac:dyDescent="0.2">
      <c r="A6" s="509" t="s">
        <v>254</v>
      </c>
      <c r="B6" s="379"/>
      <c r="C6" s="379"/>
      <c r="D6" s="379"/>
      <c r="E6" s="379"/>
      <c r="F6" s="375"/>
      <c r="G6" s="377"/>
      <c r="H6" s="377"/>
      <c r="I6" s="377"/>
      <c r="J6" s="377"/>
      <c r="K6" s="377"/>
      <c r="L6" s="377"/>
    </row>
    <row r="7" spans="1:14" ht="13.5" thickBot="1" x14ac:dyDescent="0.25">
      <c r="A7" s="510" t="s">
        <v>232</v>
      </c>
      <c r="B7" s="380" t="s">
        <v>233</v>
      </c>
      <c r="C7" s="380" t="s">
        <v>234</v>
      </c>
      <c r="D7" s="380" t="s">
        <v>235</v>
      </c>
      <c r="E7" s="380" t="s">
        <v>236</v>
      </c>
      <c r="F7" s="381" t="s">
        <v>237</v>
      </c>
      <c r="G7" s="382" t="s">
        <v>238</v>
      </c>
      <c r="H7" s="382" t="s">
        <v>239</v>
      </c>
      <c r="I7" s="382" t="s">
        <v>243</v>
      </c>
      <c r="J7" s="382" t="s">
        <v>241</v>
      </c>
      <c r="K7" s="382" t="s">
        <v>242</v>
      </c>
      <c r="L7" s="382" t="s">
        <v>244</v>
      </c>
      <c r="M7" s="382" t="s">
        <v>101</v>
      </c>
    </row>
    <row r="8" spans="1:14" ht="64.5" thickBot="1" x14ac:dyDescent="0.25">
      <c r="A8" s="511" t="s">
        <v>65</v>
      </c>
      <c r="B8" s="512" t="s">
        <v>66</v>
      </c>
      <c r="C8" s="383" t="s">
        <v>67</v>
      </c>
      <c r="D8" s="383" t="s">
        <v>68</v>
      </c>
      <c r="E8" s="383" t="s">
        <v>76</v>
      </c>
      <c r="F8" s="384" t="s">
        <v>77</v>
      </c>
      <c r="G8" s="385" t="s">
        <v>69</v>
      </c>
      <c r="H8" s="386" t="s">
        <v>70</v>
      </c>
      <c r="I8" s="387" t="s">
        <v>71</v>
      </c>
      <c r="J8" s="388" t="s">
        <v>72</v>
      </c>
      <c r="K8" s="385" t="s">
        <v>73</v>
      </c>
      <c r="L8" s="385" t="s">
        <v>74</v>
      </c>
      <c r="M8" s="385" t="s">
        <v>78</v>
      </c>
      <c r="N8" s="389"/>
    </row>
    <row r="9" spans="1:14" x14ac:dyDescent="0.2">
      <c r="C9" s="378"/>
      <c r="F9" s="390"/>
    </row>
    <row r="10" spans="1:14" x14ac:dyDescent="0.2">
      <c r="A10" s="391" t="s">
        <v>34</v>
      </c>
      <c r="B10" s="392">
        <v>41760</v>
      </c>
      <c r="C10" s="513">
        <f>$G$2</f>
        <v>826.4</v>
      </c>
      <c r="D10" s="393">
        <f>VLOOKUP(B10,IPC,2,)</f>
        <v>605.5</v>
      </c>
      <c r="E10" s="393">
        <f>+C10/D10</f>
        <v>1.364822460776218</v>
      </c>
      <c r="F10" s="394">
        <v>1000000</v>
      </c>
      <c r="G10" s="395">
        <f>+F10*E10</f>
        <v>1364822.460776218</v>
      </c>
      <c r="H10" s="395">
        <f>+F10/120*8</f>
        <v>66666.666666666672</v>
      </c>
      <c r="I10" s="394">
        <f>+H10*E10</f>
        <v>90988.164051747881</v>
      </c>
      <c r="J10" s="394">
        <f>+G10-F10</f>
        <v>364822.46077621798</v>
      </c>
      <c r="K10" s="394">
        <f>+I10-H10</f>
        <v>24321.497385081209</v>
      </c>
      <c r="L10" s="395">
        <f>+J10-K10</f>
        <v>340500.96339113679</v>
      </c>
      <c r="M10" s="395">
        <f>+L10*3%</f>
        <v>10215.028901734104</v>
      </c>
    </row>
    <row r="11" spans="1:14" x14ac:dyDescent="0.2">
      <c r="A11" s="391" t="s">
        <v>35</v>
      </c>
      <c r="B11" s="392">
        <v>41883</v>
      </c>
      <c r="C11" s="513">
        <f t="shared" ref="C11:C12" si="0">$G$2</f>
        <v>826.4</v>
      </c>
      <c r="D11" s="393">
        <f>VLOOKUP(B11,IPC,2,)</f>
        <v>712.3</v>
      </c>
      <c r="E11" s="393">
        <f t="shared" ref="E11:E16" si="1">+C11/D11</f>
        <v>1.1601853151761898</v>
      </c>
      <c r="F11" s="394">
        <v>500000</v>
      </c>
      <c r="G11" s="395">
        <f t="shared" ref="G11:G16" si="2">+F11*E11</f>
        <v>580092.65758809494</v>
      </c>
      <c r="H11" s="395">
        <f>+F11/120*4</f>
        <v>16666.666666666668</v>
      </c>
      <c r="I11" s="394">
        <f>+H11*E11</f>
        <v>19336.421919603166</v>
      </c>
      <c r="J11" s="394">
        <f>+G11-F11</f>
        <v>80092.657588094939</v>
      </c>
      <c r="K11" s="394">
        <f>+I11-H11</f>
        <v>2669.7552529364984</v>
      </c>
      <c r="L11" s="395">
        <f>+J11-K11</f>
        <v>77422.902335158433</v>
      </c>
      <c r="M11" s="395">
        <f>+L11*3%</f>
        <v>2322.6870700547529</v>
      </c>
    </row>
    <row r="12" spans="1:14" x14ac:dyDescent="0.2">
      <c r="A12" s="391" t="s">
        <v>36</v>
      </c>
      <c r="B12" s="392">
        <v>41974</v>
      </c>
      <c r="C12" s="513">
        <f t="shared" si="0"/>
        <v>826.4</v>
      </c>
      <c r="D12" s="393">
        <f>VLOOKUP(B12,IPC,2,)</f>
        <v>826.4</v>
      </c>
      <c r="E12" s="393">
        <f t="shared" si="1"/>
        <v>1</v>
      </c>
      <c r="F12" s="394">
        <v>1500000</v>
      </c>
      <c r="G12" s="395">
        <f t="shared" si="2"/>
        <v>1500000</v>
      </c>
      <c r="H12" s="395">
        <f>+F12/120*0</f>
        <v>0</v>
      </c>
      <c r="I12" s="394">
        <f>+H12*E12</f>
        <v>0</v>
      </c>
      <c r="J12" s="394">
        <f>+G12-F12</f>
        <v>0</v>
      </c>
      <c r="K12" s="394">
        <f>+I12-H12</f>
        <v>0</v>
      </c>
      <c r="L12" s="395">
        <f>+J12-K12</f>
        <v>0</v>
      </c>
      <c r="M12" s="395">
        <f>+L12*3%</f>
        <v>0</v>
      </c>
    </row>
    <row r="13" spans="1:14" s="389" customFormat="1" x14ac:dyDescent="0.2">
      <c r="A13" s="391" t="s">
        <v>49</v>
      </c>
      <c r="B13" s="396"/>
      <c r="C13" s="391"/>
      <c r="D13" s="397"/>
      <c r="E13" s="397"/>
      <c r="F13" s="398">
        <f>SUM(F10:F12)</f>
        <v>3000000</v>
      </c>
      <c r="G13" s="398">
        <f>SUM(G10:G12)</f>
        <v>3444915.1183643127</v>
      </c>
      <c r="H13" s="398">
        <f>SUM(H10:H12)</f>
        <v>83333.333333333343</v>
      </c>
      <c r="I13" s="398">
        <f>SUM(I10:I12)</f>
        <v>110324.58597135104</v>
      </c>
      <c r="J13" s="398">
        <f t="shared" ref="J13:M13" si="3">SUM(J10:J12)</f>
        <v>444915.11836431292</v>
      </c>
      <c r="K13" s="398">
        <f t="shared" si="3"/>
        <v>26991.252638017708</v>
      </c>
      <c r="L13" s="398">
        <f t="shared" si="3"/>
        <v>417923.86572629522</v>
      </c>
      <c r="M13" s="398">
        <f t="shared" si="3"/>
        <v>12537.715971788857</v>
      </c>
    </row>
    <row r="14" spans="1:14" s="389" customFormat="1" x14ac:dyDescent="0.2">
      <c r="A14" s="391"/>
      <c r="B14" s="396"/>
      <c r="C14" s="391"/>
      <c r="D14" s="397"/>
      <c r="E14" s="397"/>
      <c r="F14" s="398"/>
      <c r="G14" s="398"/>
      <c r="H14" s="398"/>
      <c r="I14" s="398"/>
      <c r="J14" s="398"/>
      <c r="K14" s="398"/>
      <c r="L14" s="398"/>
      <c r="M14" s="398"/>
    </row>
    <row r="15" spans="1:14" x14ac:dyDescent="0.2">
      <c r="A15" s="391"/>
      <c r="B15" s="392"/>
      <c r="C15" s="402"/>
      <c r="D15" s="393"/>
      <c r="E15" s="393"/>
      <c r="F15" s="394"/>
      <c r="G15" s="395"/>
      <c r="H15" s="395"/>
      <c r="I15" s="394"/>
      <c r="J15" s="394"/>
      <c r="K15" s="394"/>
      <c r="L15" s="395"/>
      <c r="M15" s="395"/>
    </row>
    <row r="16" spans="1:14" x14ac:dyDescent="0.2">
      <c r="A16" s="391" t="s">
        <v>216</v>
      </c>
      <c r="B16" s="392">
        <v>41791</v>
      </c>
      <c r="C16" s="513">
        <f>$G$2</f>
        <v>826.4</v>
      </c>
      <c r="D16" s="393">
        <f>VLOOKUP(B16,IPC,2,)</f>
        <v>631.70000000000005</v>
      </c>
      <c r="E16" s="393">
        <f t="shared" si="1"/>
        <v>1.3082159252809877</v>
      </c>
      <c r="F16" s="394">
        <v>400000</v>
      </c>
      <c r="G16" s="395">
        <f t="shared" si="2"/>
        <v>523286.37011239509</v>
      </c>
      <c r="H16" s="395">
        <f>+F16/60*7</f>
        <v>46666.666666666672</v>
      </c>
      <c r="I16" s="394">
        <f>+H16*E16</f>
        <v>61050.07651311277</v>
      </c>
      <c r="J16" s="394">
        <f>+G16-F16</f>
        <v>123286.37011239509</v>
      </c>
      <c r="K16" s="394">
        <f>+I16-H16</f>
        <v>14383.409846446099</v>
      </c>
      <c r="L16" s="395">
        <f>+J16-K16</f>
        <v>108902.96026594899</v>
      </c>
      <c r="M16" s="395">
        <f>+L16*3%</f>
        <v>3267.0888079784695</v>
      </c>
    </row>
    <row r="17" spans="1:13" x14ac:dyDescent="0.2">
      <c r="A17" s="399" t="s">
        <v>75</v>
      </c>
      <c r="B17" s="400"/>
      <c r="C17" s="400"/>
      <c r="D17" s="400"/>
      <c r="E17" s="400"/>
      <c r="F17" s="401">
        <f t="shared" ref="F17:M17" si="4">SUM(F16:F16)</f>
        <v>400000</v>
      </c>
      <c r="G17" s="401">
        <f t="shared" si="4"/>
        <v>523286.37011239509</v>
      </c>
      <c r="H17" s="401">
        <f t="shared" si="4"/>
        <v>46666.666666666672</v>
      </c>
      <c r="I17" s="401">
        <f t="shared" si="4"/>
        <v>61050.07651311277</v>
      </c>
      <c r="J17" s="401">
        <f t="shared" si="4"/>
        <v>123286.37011239509</v>
      </c>
      <c r="K17" s="401">
        <f t="shared" si="4"/>
        <v>14383.409846446099</v>
      </c>
      <c r="L17" s="401">
        <f t="shared" si="4"/>
        <v>108902.96026594899</v>
      </c>
      <c r="M17" s="401">
        <f t="shared" si="4"/>
        <v>3267.0888079784695</v>
      </c>
    </row>
    <row r="18" spans="1:13" x14ac:dyDescent="0.2">
      <c r="A18" s="402"/>
      <c r="B18" s="402"/>
      <c r="C18" s="403"/>
      <c r="D18" s="402"/>
      <c r="E18" s="402"/>
      <c r="F18" s="402"/>
      <c r="G18" s="402"/>
      <c r="H18" s="402"/>
      <c r="I18" s="402"/>
      <c r="J18" s="402"/>
      <c r="K18" s="402"/>
      <c r="L18" s="402"/>
      <c r="M18" s="402"/>
    </row>
    <row r="19" spans="1:13" x14ac:dyDescent="0.2">
      <c r="A19" s="391" t="s">
        <v>63</v>
      </c>
      <c r="B19" s="392">
        <v>41730</v>
      </c>
      <c r="C19" s="513">
        <f>$G$2</f>
        <v>826.4</v>
      </c>
      <c r="D19" s="393">
        <f>VLOOKUP(B19,IPC,2,)</f>
        <v>574.29999999999995</v>
      </c>
      <c r="E19" s="393">
        <f>+C19/D19</f>
        <v>1.4389691798711475</v>
      </c>
      <c r="F19" s="394">
        <v>2000000</v>
      </c>
      <c r="G19" s="395">
        <f>+F19*E19</f>
        <v>2877938.359742295</v>
      </c>
      <c r="H19" s="395">
        <v>0</v>
      </c>
      <c r="I19" s="394">
        <f>+H19*E19</f>
        <v>0</v>
      </c>
      <c r="J19" s="394">
        <f>+G19-F19</f>
        <v>877938.359742295</v>
      </c>
      <c r="K19" s="394">
        <f>+I19-H19</f>
        <v>0</v>
      </c>
      <c r="L19" s="395">
        <f>+J19-K19</f>
        <v>877938.359742295</v>
      </c>
      <c r="M19" s="395"/>
    </row>
    <row r="20" spans="1:13" x14ac:dyDescent="0.2">
      <c r="A20" s="404" t="s">
        <v>75</v>
      </c>
      <c r="B20" s="402"/>
      <c r="C20" s="403"/>
      <c r="D20" s="402"/>
      <c r="E20" s="402"/>
      <c r="F20" s="405">
        <f t="shared" ref="F20:L20" si="5">SUM(F19)</f>
        <v>2000000</v>
      </c>
      <c r="G20" s="405">
        <f t="shared" si="5"/>
        <v>2877938.359742295</v>
      </c>
      <c r="H20" s="405">
        <f t="shared" si="5"/>
        <v>0</v>
      </c>
      <c r="I20" s="405">
        <f t="shared" si="5"/>
        <v>0</v>
      </c>
      <c r="J20" s="405">
        <f t="shared" si="5"/>
        <v>877938.359742295</v>
      </c>
      <c r="K20" s="405">
        <f t="shared" si="5"/>
        <v>0</v>
      </c>
      <c r="L20" s="405">
        <f t="shared" si="5"/>
        <v>877938.359742295</v>
      </c>
      <c r="M20" s="405"/>
    </row>
    <row r="21" spans="1:13" x14ac:dyDescent="0.2">
      <c r="C21" s="406"/>
      <c r="F21" s="407"/>
      <c r="G21" s="407"/>
      <c r="H21" s="407"/>
      <c r="I21" s="407"/>
      <c r="J21" s="407"/>
      <c r="K21" s="407"/>
      <c r="L21" s="407"/>
      <c r="M21" s="407">
        <f>M13+M17+M20</f>
        <v>15804.804779767326</v>
      </c>
    </row>
    <row r="22" spans="1:13" x14ac:dyDescent="0.2">
      <c r="C22" s="408"/>
      <c r="L22" s="407"/>
      <c r="M22" s="407"/>
    </row>
    <row r="23" spans="1:13" x14ac:dyDescent="0.2">
      <c r="A23" s="391" t="s">
        <v>11</v>
      </c>
      <c r="B23" s="392">
        <v>41760</v>
      </c>
      <c r="C23" s="513">
        <f>$G$2</f>
        <v>826.4</v>
      </c>
      <c r="D23" s="393">
        <f>VLOOKUP(B23,IPC,2,)</f>
        <v>605.5</v>
      </c>
      <c r="E23" s="393">
        <f>+C23/D23</f>
        <v>1.364822460776218</v>
      </c>
      <c r="F23" s="394">
        <v>250000</v>
      </c>
      <c r="G23" s="395">
        <f>+F23*E23</f>
        <v>341205.6151940545</v>
      </c>
      <c r="H23" s="395">
        <v>0</v>
      </c>
      <c r="I23" s="394">
        <f>+H23*E23</f>
        <v>0</v>
      </c>
      <c r="J23" s="394">
        <f>+G23-F23</f>
        <v>91205.615194054495</v>
      </c>
      <c r="K23" s="394">
        <f>+I23-H23</f>
        <v>0</v>
      </c>
      <c r="L23" s="395">
        <f>+J23-K23</f>
        <v>91205.615194054495</v>
      </c>
      <c r="M23" s="395"/>
    </row>
    <row r="25" spans="1:13" x14ac:dyDescent="0.2">
      <c r="F25" s="407">
        <f t="shared" ref="F25:K25" si="6">+F13+F17+F20+F23</f>
        <v>5650000</v>
      </c>
      <c r="G25" s="407">
        <f t="shared" si="6"/>
        <v>7187345.4634130569</v>
      </c>
      <c r="H25" s="407">
        <f t="shared" si="6"/>
        <v>130000.00000000001</v>
      </c>
      <c r="I25" s="407">
        <f t="shared" si="6"/>
        <v>171374.66248446383</v>
      </c>
      <c r="J25" s="407">
        <f t="shared" si="6"/>
        <v>1537345.4634130576</v>
      </c>
      <c r="K25" s="407">
        <f t="shared" si="6"/>
        <v>41374.662484463806</v>
      </c>
      <c r="L25" s="407">
        <f>+L13+L17+L20+L23</f>
        <v>1495970.8009285938</v>
      </c>
      <c r="M25" s="407">
        <f>+M13+M17+M20+M23</f>
        <v>15804.804779767326</v>
      </c>
    </row>
    <row r="26" spans="1:13" x14ac:dyDescent="0.2">
      <c r="A26" s="378" t="str">
        <f>BALANCES!A19</f>
        <v>TERRENO</v>
      </c>
      <c r="B26" s="407">
        <f>L20</f>
        <v>877938.359742295</v>
      </c>
      <c r="C26" s="408"/>
    </row>
    <row r="27" spans="1:13" x14ac:dyDescent="0.2">
      <c r="A27" s="378" t="str">
        <f>BALANCES!A20</f>
        <v>MAQUINARIAS</v>
      </c>
      <c r="B27" s="407">
        <f>J13</f>
        <v>444915.11836431292</v>
      </c>
      <c r="L27" s="407">
        <f>L13+L17+L20</f>
        <v>1404765.1857345393</v>
      </c>
    </row>
    <row r="28" spans="1:13" x14ac:dyDescent="0.2">
      <c r="A28" s="378" t="str">
        <f>BALANCES!A21</f>
        <v>MOBILIARIO</v>
      </c>
      <c r="B28" s="407">
        <f>J17</f>
        <v>123286.37011239509</v>
      </c>
    </row>
    <row r="29" spans="1:13" x14ac:dyDescent="0.2">
      <c r="A29" s="378" t="str">
        <f>BALANCES!A22</f>
        <v>DEP. ACM. MAQUINARIAS</v>
      </c>
      <c r="C29" s="390">
        <f>K13</f>
        <v>26991.252638017708</v>
      </c>
    </row>
    <row r="30" spans="1:13" x14ac:dyDescent="0.2">
      <c r="A30" s="378" t="str">
        <f>BALANCES!A23</f>
        <v>DEP. ACM. MOBILIARIO</v>
      </c>
      <c r="C30" s="390">
        <f>K17</f>
        <v>14383.409846446099</v>
      </c>
    </row>
    <row r="31" spans="1:13" x14ac:dyDescent="0.2">
      <c r="A31" s="378" t="str">
        <f>BALANCES!A15</f>
        <v>INVERSION EN ACCIONES</v>
      </c>
      <c r="B31" s="407">
        <f>L23</f>
        <v>91205.615194054495</v>
      </c>
      <c r="C31" s="390"/>
    </row>
    <row r="32" spans="1:13" x14ac:dyDescent="0.2">
      <c r="A32" s="378" t="s">
        <v>247</v>
      </c>
      <c r="C32" s="390">
        <f>L25</f>
        <v>1495970.8009285938</v>
      </c>
    </row>
    <row r="33" spans="2:3" x14ac:dyDescent="0.2">
      <c r="B33" s="407">
        <f>SUM(B26:B32)</f>
        <v>1537345.4634130576</v>
      </c>
      <c r="C33" s="390">
        <f>SUM(C29:C32)</f>
        <v>1537345.4634130576</v>
      </c>
    </row>
  </sheetData>
  <phoneticPr fontId="0" type="noConversion"/>
  <pageMargins left="0.22" right="0.16" top="1" bottom="1" header="0" footer="0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0" zoomScale="75" zoomScaleNormal="75" workbookViewId="0">
      <selection activeCell="L49" sqref="L49"/>
    </sheetView>
  </sheetViews>
  <sheetFormatPr baseColWidth="10" defaultRowHeight="12.75" x14ac:dyDescent="0.2"/>
  <cols>
    <col min="4" max="4" width="18.42578125" customWidth="1"/>
    <col min="5" max="5" width="12.7109375" bestFit="1" customWidth="1"/>
    <col min="6" max="6" width="12.28515625" bestFit="1" customWidth="1"/>
    <col min="8" max="8" width="12.28515625" bestFit="1" customWidth="1"/>
    <col min="9" max="11" width="11.5703125" bestFit="1" customWidth="1"/>
    <col min="12" max="12" width="13.7109375" bestFit="1" customWidth="1"/>
    <col min="13" max="13" width="13" bestFit="1" customWidth="1"/>
  </cols>
  <sheetData>
    <row r="1" spans="1:13" x14ac:dyDescent="0.2">
      <c r="A1" s="1" t="s">
        <v>80</v>
      </c>
      <c r="H1" s="1" t="s">
        <v>80</v>
      </c>
    </row>
    <row r="2" spans="1:13" x14ac:dyDescent="0.2">
      <c r="A2" s="1" t="s">
        <v>256</v>
      </c>
      <c r="H2" s="1" t="s">
        <v>257</v>
      </c>
    </row>
    <row r="3" spans="1:13" x14ac:dyDescent="0.2">
      <c r="A3" s="1" t="s">
        <v>107</v>
      </c>
      <c r="H3" s="1" t="s">
        <v>107</v>
      </c>
    </row>
    <row r="7" spans="1:13" x14ac:dyDescent="0.2">
      <c r="A7" s="486" t="s">
        <v>47</v>
      </c>
      <c r="B7" s="486"/>
      <c r="C7" s="486"/>
      <c r="D7" s="486"/>
      <c r="E7" s="3" t="s">
        <v>108</v>
      </c>
      <c r="F7" s="3" t="s">
        <v>104</v>
      </c>
      <c r="H7" s="5" t="str">
        <f>A11</f>
        <v>INVENTARIO DE MERCANCIA</v>
      </c>
      <c r="K7" t="s">
        <v>111</v>
      </c>
      <c r="L7" s="15">
        <f>BALANCES!B9</f>
        <v>1050000</v>
      </c>
    </row>
    <row r="8" spans="1:13" x14ac:dyDescent="0.2">
      <c r="A8" s="3"/>
      <c r="B8" s="3"/>
      <c r="C8" s="3"/>
      <c r="D8" s="3"/>
      <c r="E8" s="3"/>
      <c r="F8" s="3"/>
      <c r="K8" t="s">
        <v>108</v>
      </c>
      <c r="L8" t="s">
        <v>104</v>
      </c>
      <c r="M8" t="s">
        <v>109</v>
      </c>
    </row>
    <row r="9" spans="1:13" x14ac:dyDescent="0.2">
      <c r="A9" s="486" t="s">
        <v>46</v>
      </c>
      <c r="B9" s="486"/>
      <c r="C9" s="486"/>
      <c r="D9" s="486"/>
      <c r="E9" s="486"/>
      <c r="F9" s="486"/>
      <c r="H9" t="str">
        <f>A9</f>
        <v>INVENTARIOS</v>
      </c>
      <c r="K9">
        <f>E11</f>
        <v>0</v>
      </c>
      <c r="M9" s="15">
        <f>L7+K9-L9</f>
        <v>1050000</v>
      </c>
    </row>
    <row r="10" spans="1:13" x14ac:dyDescent="0.2">
      <c r="A10" s="3"/>
      <c r="B10" s="3"/>
      <c r="C10" s="3"/>
      <c r="D10" s="3"/>
      <c r="E10" s="3"/>
      <c r="F10" s="3"/>
    </row>
    <row r="11" spans="1:13" x14ac:dyDescent="0.2">
      <c r="A11" s="485" t="str">
        <f>'INVENTARIO INICIAL'!A10</f>
        <v>INVENTARIO DE MERCANCIA</v>
      </c>
      <c r="B11" s="485"/>
      <c r="C11" s="485"/>
      <c r="D11" s="485"/>
      <c r="E11">
        <f>'INVENTARIO INICIAL'!K13</f>
        <v>0</v>
      </c>
    </row>
    <row r="12" spans="1:13" x14ac:dyDescent="0.2">
      <c r="A12" s="485" t="s">
        <v>106</v>
      </c>
      <c r="B12" s="485"/>
      <c r="C12" s="485"/>
      <c r="D12" s="485"/>
      <c r="E12" s="14"/>
      <c r="F12" s="14">
        <f>E11</f>
        <v>0</v>
      </c>
      <c r="H12" s="5" t="str">
        <f>A17</f>
        <v>MAQUINARIA</v>
      </c>
      <c r="K12" t="str">
        <f>K7</f>
        <v>HISTORICO</v>
      </c>
      <c r="L12" s="15">
        <f>BALANCES!B20</f>
        <v>3000000</v>
      </c>
    </row>
    <row r="13" spans="1:13" x14ac:dyDescent="0.2">
      <c r="A13" s="13"/>
      <c r="B13" s="13"/>
      <c r="C13" s="13"/>
      <c r="D13" s="13"/>
      <c r="E13">
        <f>SUM(E11:E12)</f>
        <v>0</v>
      </c>
      <c r="F13">
        <f>SUM(F11:F12)</f>
        <v>0</v>
      </c>
      <c r="K13" t="s">
        <v>103</v>
      </c>
      <c r="L13" t="s">
        <v>104</v>
      </c>
      <c r="M13" t="s">
        <v>109</v>
      </c>
    </row>
    <row r="14" spans="1:13" x14ac:dyDescent="0.2">
      <c r="A14" s="485"/>
      <c r="B14" s="485"/>
      <c r="C14" s="485"/>
      <c r="D14" s="485"/>
      <c r="H14" t="str">
        <f>A15</f>
        <v>ACITVOS FIJOS</v>
      </c>
      <c r="K14" s="11">
        <f>E17</f>
        <v>444915.11836431292</v>
      </c>
      <c r="M14" s="15">
        <f>L12+K14-L14</f>
        <v>3444915.1183643127</v>
      </c>
    </row>
    <row r="15" spans="1:13" x14ac:dyDescent="0.2">
      <c r="A15" s="486" t="s">
        <v>110</v>
      </c>
      <c r="B15" s="486"/>
      <c r="C15" s="486"/>
      <c r="D15" s="486"/>
      <c r="E15" s="486"/>
      <c r="F15" s="486"/>
    </row>
    <row r="16" spans="1:13" x14ac:dyDescent="0.2">
      <c r="A16" s="3"/>
      <c r="B16" s="3"/>
      <c r="C16" s="3"/>
      <c r="D16" s="3"/>
      <c r="E16" s="3"/>
      <c r="F16" s="3"/>
    </row>
    <row r="17" spans="1:13" x14ac:dyDescent="0.2">
      <c r="A17" s="485" t="s">
        <v>217</v>
      </c>
      <c r="B17" s="485"/>
      <c r="C17" s="485"/>
      <c r="D17" s="485"/>
      <c r="E17" s="11">
        <f>+'AJUSTE INICIAL AFD'!J13</f>
        <v>444915.11836431292</v>
      </c>
      <c r="H17" t="str">
        <f>A18</f>
        <v>DEP. ACM. MAQUINARIAS</v>
      </c>
      <c r="K17" t="str">
        <f>K12</f>
        <v>HISTORICO</v>
      </c>
      <c r="L17" s="15">
        <f>BALANCES!B22</f>
        <v>-83333.333333333343</v>
      </c>
    </row>
    <row r="18" spans="1:13" x14ac:dyDescent="0.2">
      <c r="A18" s="485" t="str">
        <f>BALANCES!A22</f>
        <v>DEP. ACM. MAQUINARIAS</v>
      </c>
      <c r="B18" s="485"/>
      <c r="C18" s="485"/>
      <c r="D18" s="485"/>
      <c r="F18" s="11">
        <f>+'AJUSTE INICIAL AFD'!K13</f>
        <v>26991.252638017708</v>
      </c>
      <c r="H18" t="str">
        <f>A15</f>
        <v>ACITVOS FIJOS</v>
      </c>
      <c r="L18" s="11">
        <f>F18</f>
        <v>26991.252638017708</v>
      </c>
      <c r="M18" s="15">
        <f>L17+K18-L18</f>
        <v>-110324.58597135104</v>
      </c>
    </row>
    <row r="19" spans="1:13" x14ac:dyDescent="0.2">
      <c r="A19" s="485" t="str">
        <f>BALANCES!A21</f>
        <v>MOBILIARIO</v>
      </c>
      <c r="B19" s="485"/>
      <c r="C19" s="485"/>
      <c r="D19" s="485"/>
      <c r="E19" s="11">
        <f>+'AJUSTE INICIAL AFD'!J17</f>
        <v>123286.37011239509</v>
      </c>
    </row>
    <row r="20" spans="1:13" x14ac:dyDescent="0.2">
      <c r="A20" s="485" t="str">
        <f>BALANCES!A23</f>
        <v>DEP. ACM. MOBILIARIO</v>
      </c>
      <c r="B20" s="485"/>
      <c r="C20" s="485"/>
      <c r="D20" s="485"/>
      <c r="F20" s="11">
        <f>+'AJUSTE INICIAL AFD'!K17</f>
        <v>14383.409846446099</v>
      </c>
    </row>
    <row r="21" spans="1:13" x14ac:dyDescent="0.2">
      <c r="A21" s="485" t="str">
        <f>BALANCES!A19</f>
        <v>TERRENO</v>
      </c>
      <c r="B21" s="485"/>
      <c r="C21" s="485"/>
      <c r="D21" s="485"/>
      <c r="E21" s="11">
        <f>+'AJUSTE INICIAL AFD'!J20</f>
        <v>877938.359742295</v>
      </c>
    </row>
    <row r="22" spans="1:13" x14ac:dyDescent="0.2">
      <c r="A22" s="485" t="s">
        <v>106</v>
      </c>
      <c r="B22" s="485"/>
      <c r="C22" s="485"/>
      <c r="D22" s="485"/>
      <c r="E22" s="14"/>
      <c r="F22" s="12">
        <f>'AJUSTE INICIAL AFD'!L27</f>
        <v>1404765.1857345393</v>
      </c>
    </row>
    <row r="23" spans="1:13" x14ac:dyDescent="0.2">
      <c r="A23" s="485"/>
      <c r="B23" s="485"/>
      <c r="C23" s="485"/>
      <c r="D23" s="485"/>
      <c r="E23" s="11">
        <f>SUM(E17:E22)</f>
        <v>1446139.8482190031</v>
      </c>
      <c r="F23" s="11">
        <f>SUM(F18:F22)</f>
        <v>1446139.8482190031</v>
      </c>
    </row>
    <row r="24" spans="1:13" x14ac:dyDescent="0.2">
      <c r="A24" s="485"/>
      <c r="B24" s="485"/>
      <c r="C24" s="485"/>
      <c r="D24" s="485"/>
    </row>
    <row r="25" spans="1:13" x14ac:dyDescent="0.2">
      <c r="A25" s="486" t="s">
        <v>50</v>
      </c>
      <c r="B25" s="486"/>
      <c r="C25" s="486"/>
      <c r="D25" s="486"/>
      <c r="E25" s="486"/>
      <c r="F25" s="486"/>
      <c r="H25" t="str">
        <f>A27</f>
        <v>ACTUALIZACION DEL PATRIMONIO</v>
      </c>
    </row>
    <row r="26" spans="1:13" x14ac:dyDescent="0.2">
      <c r="A26" s="485" t="str">
        <f>BALANCES!A11</f>
        <v>SEGUROS PREPAGADOS</v>
      </c>
      <c r="B26" s="485"/>
      <c r="C26" s="485"/>
      <c r="D26" s="485"/>
      <c r="E26" s="11">
        <f>'AJUSTE INICIAL AM '!J10-'AJUSTE INICIAL AM '!K10</f>
        <v>21948.458993557375</v>
      </c>
      <c r="H26" s="4" t="s">
        <v>103</v>
      </c>
      <c r="I26" s="4" t="s">
        <v>104</v>
      </c>
      <c r="J26" s="4" t="s">
        <v>109</v>
      </c>
    </row>
    <row r="27" spans="1:13" x14ac:dyDescent="0.2">
      <c r="A27" s="485" t="str">
        <f>A22</f>
        <v>ACTUALIZACION DEL PATRIMONIO</v>
      </c>
      <c r="B27" s="485"/>
      <c r="C27" s="485"/>
      <c r="D27" s="485"/>
      <c r="E27" s="14"/>
      <c r="F27" s="12">
        <f>E26</f>
        <v>21948.458993557375</v>
      </c>
      <c r="H27" s="4"/>
      <c r="I27" s="18">
        <f>F22</f>
        <v>1404765.1857345393</v>
      </c>
      <c r="J27" s="18">
        <f>H27-I27</f>
        <v>-1404765.1857345393</v>
      </c>
    </row>
    <row r="28" spans="1:13" x14ac:dyDescent="0.2">
      <c r="A28" s="485"/>
      <c r="B28" s="485"/>
      <c r="C28" s="485"/>
      <c r="D28" s="485"/>
      <c r="E28" s="11">
        <f>SUM(E26:E27)</f>
        <v>21948.458993557375</v>
      </c>
      <c r="F28" s="11">
        <f>SUM(F27)</f>
        <v>21948.458993557375</v>
      </c>
      <c r="H28" s="4"/>
      <c r="I28" s="18">
        <f>F27</f>
        <v>21948.458993557375</v>
      </c>
      <c r="J28" s="18">
        <f>J27+H28-I28</f>
        <v>-1426713.6447280967</v>
      </c>
    </row>
    <row r="29" spans="1:13" x14ac:dyDescent="0.2">
      <c r="A29" s="485"/>
      <c r="B29" s="485"/>
      <c r="C29" s="485"/>
      <c r="D29" s="485"/>
      <c r="H29" s="4"/>
      <c r="I29" s="349">
        <f>+F42</f>
        <v>91205.615194054495</v>
      </c>
      <c r="J29" s="18">
        <f>J28+H29-I29</f>
        <v>-1517919.2599221512</v>
      </c>
    </row>
    <row r="30" spans="1:13" x14ac:dyDescent="0.2">
      <c r="A30" s="486" t="s">
        <v>105</v>
      </c>
      <c r="B30" s="486"/>
      <c r="C30" s="486"/>
      <c r="D30" s="486"/>
      <c r="E30" s="486"/>
      <c r="F30" s="486"/>
      <c r="H30" s="4"/>
      <c r="I30" s="4"/>
      <c r="J30" s="4"/>
    </row>
    <row r="31" spans="1:13" x14ac:dyDescent="0.2">
      <c r="A31" s="3"/>
      <c r="B31" s="3"/>
      <c r="C31" s="3"/>
      <c r="D31" s="3"/>
      <c r="E31" s="3"/>
      <c r="F31" s="3"/>
    </row>
    <row r="32" spans="1:13" x14ac:dyDescent="0.2">
      <c r="A32" s="487" t="s">
        <v>105</v>
      </c>
      <c r="B32" s="487"/>
      <c r="C32" s="487"/>
      <c r="D32" s="487"/>
      <c r="E32" s="16"/>
      <c r="F32" s="361">
        <f>E35-F33-F34</f>
        <v>440000</v>
      </c>
      <c r="H32" t="str">
        <f>A32</f>
        <v>EXCLUSIONES FISCALES HISTORICAS DEL PATRIMONIO</v>
      </c>
    </row>
    <row r="33" spans="1:10" x14ac:dyDescent="0.2">
      <c r="A33" s="485" t="str">
        <f>BALANCES!A27</f>
        <v>CUENTAS POR COBRAR SOCIOS</v>
      </c>
      <c r="B33" s="485"/>
      <c r="C33" s="485"/>
      <c r="D33" s="485"/>
      <c r="F33" s="15">
        <f>BALANCES!B27</f>
        <v>10000</v>
      </c>
      <c r="H33" s="4" t="s">
        <v>103</v>
      </c>
      <c r="I33" s="4" t="s">
        <v>104</v>
      </c>
      <c r="J33" s="4" t="s">
        <v>109</v>
      </c>
    </row>
    <row r="34" spans="1:10" x14ac:dyDescent="0.2">
      <c r="A34" s="485" t="str">
        <f>BALANCES!A28</f>
        <v>CUENTAS POR COBRAR RELACIONADAS</v>
      </c>
      <c r="B34" s="485"/>
      <c r="C34" s="485"/>
      <c r="D34" s="485"/>
      <c r="E34" s="8"/>
      <c r="F34" s="359">
        <f>BALANCES!B28</f>
        <v>50000</v>
      </c>
      <c r="H34" s="4"/>
      <c r="I34" s="18">
        <f>F32</f>
        <v>440000</v>
      </c>
      <c r="J34" s="18">
        <f>I34</f>
        <v>440000</v>
      </c>
    </row>
    <row r="35" spans="1:10" x14ac:dyDescent="0.2">
      <c r="A35" s="488" t="s">
        <v>248</v>
      </c>
      <c r="B35" s="485"/>
      <c r="C35" s="485"/>
      <c r="D35" s="485"/>
      <c r="E35" s="360">
        <v>500000</v>
      </c>
      <c r="F35" s="17"/>
      <c r="H35" s="4"/>
      <c r="I35" s="18"/>
      <c r="J35" s="18"/>
    </row>
    <row r="36" spans="1:10" x14ac:dyDescent="0.2">
      <c r="A36" s="485"/>
      <c r="B36" s="485"/>
      <c r="C36" s="485"/>
      <c r="D36" s="485"/>
      <c r="E36" s="15">
        <f>SUM(E32:E35)</f>
        <v>500000</v>
      </c>
      <c r="F36" s="15">
        <f>SUM(F32:F35)</f>
        <v>500000</v>
      </c>
      <c r="H36" s="4"/>
      <c r="I36" s="349">
        <f>+F49</f>
        <v>0</v>
      </c>
      <c r="J36" s="18"/>
    </row>
    <row r="37" spans="1:10" x14ac:dyDescent="0.2">
      <c r="A37" s="485"/>
      <c r="B37" s="485"/>
      <c r="C37" s="485"/>
      <c r="D37" s="485"/>
      <c r="H37" s="4"/>
      <c r="I37" s="4"/>
      <c r="J37" s="4"/>
    </row>
    <row r="38" spans="1:10" x14ac:dyDescent="0.2">
      <c r="A38" s="485"/>
      <c r="B38" s="485"/>
      <c r="C38" s="485"/>
      <c r="D38" s="485"/>
    </row>
    <row r="39" spans="1:10" x14ac:dyDescent="0.2">
      <c r="A39" s="486" t="s">
        <v>215</v>
      </c>
      <c r="B39" s="486"/>
      <c r="C39" s="486"/>
      <c r="D39" s="486"/>
      <c r="E39" s="486"/>
      <c r="F39" s="486"/>
    </row>
    <row r="40" spans="1:10" x14ac:dyDescent="0.2">
      <c r="E40" s="2"/>
      <c r="F40" s="2"/>
    </row>
    <row r="41" spans="1:10" x14ac:dyDescent="0.2">
      <c r="A41" s="485" t="s">
        <v>215</v>
      </c>
      <c r="B41" s="485"/>
      <c r="C41" s="485"/>
      <c r="D41" s="485"/>
      <c r="E41" s="9">
        <f>+'AJUSTE INICIAL AFD'!L23</f>
        <v>91205.615194054495</v>
      </c>
      <c r="F41" s="9"/>
    </row>
    <row r="42" spans="1:10" x14ac:dyDescent="0.2">
      <c r="A42" s="485" t="str">
        <f>+A27</f>
        <v>ACTUALIZACION DEL PATRIMONIO</v>
      </c>
      <c r="B42" s="485"/>
      <c r="C42" s="485"/>
      <c r="D42" s="485"/>
      <c r="E42" s="350"/>
      <c r="F42" s="350">
        <f>+E41</f>
        <v>91205.615194054495</v>
      </c>
    </row>
    <row r="43" spans="1:10" x14ac:dyDescent="0.2">
      <c r="E43" s="9">
        <f>SUM(E41:E42)</f>
        <v>91205.615194054495</v>
      </c>
      <c r="F43" s="9">
        <f>SUM(F41:F42)</f>
        <v>91205.615194054495</v>
      </c>
    </row>
  </sheetData>
  <mergeCells count="30">
    <mergeCell ref="A42:D42"/>
    <mergeCell ref="A41:D41"/>
    <mergeCell ref="A9:F9"/>
    <mergeCell ref="A15:F15"/>
    <mergeCell ref="A25:F25"/>
    <mergeCell ref="A30:F30"/>
    <mergeCell ref="A32:D32"/>
    <mergeCell ref="A35:D35"/>
    <mergeCell ref="A36:D36"/>
    <mergeCell ref="A37:D37"/>
    <mergeCell ref="A38:D38"/>
    <mergeCell ref="A27:D27"/>
    <mergeCell ref="A28:D28"/>
    <mergeCell ref="A29:D29"/>
    <mergeCell ref="A33:D33"/>
    <mergeCell ref="A39:F39"/>
    <mergeCell ref="A34:D34"/>
    <mergeCell ref="A14:D14"/>
    <mergeCell ref="A17:D17"/>
    <mergeCell ref="A18:D18"/>
    <mergeCell ref="A7:D7"/>
    <mergeCell ref="A11:D11"/>
    <mergeCell ref="A12:D12"/>
    <mergeCell ref="A23:D23"/>
    <mergeCell ref="A24:D24"/>
    <mergeCell ref="A26:D26"/>
    <mergeCell ref="A19:D19"/>
    <mergeCell ref="A20:D20"/>
    <mergeCell ref="A21:D21"/>
    <mergeCell ref="A22:D2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zoomScaleNormal="100" workbookViewId="0">
      <selection activeCell="A30" sqref="A30"/>
    </sheetView>
  </sheetViews>
  <sheetFormatPr baseColWidth="10" defaultRowHeight="12.75" x14ac:dyDescent="0.2"/>
  <cols>
    <col min="1" max="1" width="53.7109375" style="378" bestFit="1" customWidth="1"/>
    <col min="2" max="2" width="20.85546875" style="390" bestFit="1" customWidth="1"/>
    <col min="3" max="3" width="9.7109375" style="422" bestFit="1" customWidth="1"/>
    <col min="4" max="4" width="14.85546875" style="390" bestFit="1" customWidth="1"/>
    <col min="5" max="5" width="14.140625" style="390" bestFit="1" customWidth="1"/>
    <col min="6" max="6" width="19.140625" style="390" customWidth="1"/>
    <col min="7" max="7" width="15.28515625" style="378" customWidth="1"/>
    <col min="8" max="8" width="11.42578125" style="378" customWidth="1"/>
    <col min="9" max="16384" width="11.42578125" style="378"/>
  </cols>
  <sheetData>
    <row r="1" spans="1:8" x14ac:dyDescent="0.2">
      <c r="A1" s="389" t="s">
        <v>80</v>
      </c>
    </row>
    <row r="2" spans="1:8" x14ac:dyDescent="0.2">
      <c r="A2" s="389" t="s">
        <v>258</v>
      </c>
    </row>
    <row r="3" spans="1:8" x14ac:dyDescent="0.2">
      <c r="A3" s="389" t="s">
        <v>98</v>
      </c>
    </row>
    <row r="4" spans="1:8" x14ac:dyDescent="0.2">
      <c r="A4" s="425"/>
      <c r="B4" s="426"/>
      <c r="C4" s="425"/>
    </row>
    <row r="5" spans="1:8" x14ac:dyDescent="0.2">
      <c r="A5" s="402"/>
      <c r="B5" s="429" t="s">
        <v>259</v>
      </c>
      <c r="C5" s="428" t="s">
        <v>100</v>
      </c>
      <c r="D5" s="489" t="s">
        <v>99</v>
      </c>
      <c r="E5" s="489"/>
      <c r="F5" s="455" t="s">
        <v>260</v>
      </c>
    </row>
    <row r="6" spans="1:8" x14ac:dyDescent="0.2">
      <c r="A6" s="391" t="s">
        <v>32</v>
      </c>
      <c r="B6" s="433"/>
      <c r="C6" s="432"/>
      <c r="D6" s="455" t="s">
        <v>103</v>
      </c>
      <c r="E6" s="455" t="s">
        <v>104</v>
      </c>
      <c r="F6" s="433"/>
    </row>
    <row r="7" spans="1:8" x14ac:dyDescent="0.2">
      <c r="A7" s="391" t="s">
        <v>24</v>
      </c>
      <c r="B7" s="433"/>
      <c r="C7" s="432"/>
      <c r="D7" s="433"/>
      <c r="E7" s="433"/>
      <c r="F7" s="433"/>
    </row>
    <row r="8" spans="1:8" x14ac:dyDescent="0.2">
      <c r="A8" s="402" t="s">
        <v>0</v>
      </c>
      <c r="B8" s="433">
        <v>500000</v>
      </c>
      <c r="C8" s="432" t="s">
        <v>101</v>
      </c>
      <c r="D8" s="433"/>
      <c r="E8" s="433"/>
      <c r="F8" s="433">
        <f>+B8+D8-E8</f>
        <v>500000</v>
      </c>
      <c r="H8" s="456">
        <f>+D8-E8</f>
        <v>0</v>
      </c>
    </row>
    <row r="9" spans="1:8" x14ac:dyDescent="0.2">
      <c r="A9" s="402" t="s">
        <v>1</v>
      </c>
      <c r="B9" s="433">
        <v>700000</v>
      </c>
      <c r="C9" s="432" t="s">
        <v>101</v>
      </c>
      <c r="D9" s="433"/>
      <c r="E9" s="433"/>
      <c r="F9" s="433">
        <f>+B9+D9-E9</f>
        <v>700000</v>
      </c>
      <c r="H9" s="456">
        <f t="shared" ref="H9:H55" si="0">+D9-E9</f>
        <v>0</v>
      </c>
    </row>
    <row r="10" spans="1:8" x14ac:dyDescent="0.2">
      <c r="A10" s="402" t="s">
        <v>2</v>
      </c>
      <c r="B10" s="433">
        <f>BALANCES!B9</f>
        <v>1050000</v>
      </c>
      <c r="C10" s="432" t="s">
        <v>102</v>
      </c>
      <c r="D10" s="433">
        <f>+'ASIENTOS FISCALES'!E11</f>
        <v>0</v>
      </c>
      <c r="E10" s="433"/>
      <c r="F10" s="433">
        <f>+B10+D10-E10</f>
        <v>1050000</v>
      </c>
      <c r="H10" s="456">
        <f t="shared" si="0"/>
        <v>0</v>
      </c>
    </row>
    <row r="11" spans="1:8" x14ac:dyDescent="0.2">
      <c r="A11" s="402" t="s">
        <v>3</v>
      </c>
      <c r="B11" s="433">
        <v>2500000</v>
      </c>
      <c r="C11" s="432" t="s">
        <v>101</v>
      </c>
      <c r="D11" s="433"/>
      <c r="E11" s="433"/>
      <c r="F11" s="433">
        <f>+B11+D11-E11</f>
        <v>2500000</v>
      </c>
      <c r="H11" s="456">
        <f t="shared" si="0"/>
        <v>0</v>
      </c>
    </row>
    <row r="12" spans="1:8" x14ac:dyDescent="0.2">
      <c r="A12" s="402" t="s">
        <v>4</v>
      </c>
      <c r="B12" s="433">
        <f>+ADICIONAL!G8</f>
        <v>50000</v>
      </c>
      <c r="C12" s="432" t="s">
        <v>102</v>
      </c>
      <c r="D12" s="433">
        <f>+'ASIENTOS FISCALES'!E26</f>
        <v>21948.458993557375</v>
      </c>
      <c r="E12" s="433"/>
      <c r="F12" s="433">
        <f>+B12+D12-E12</f>
        <v>71948.458993557375</v>
      </c>
      <c r="H12" s="456">
        <f t="shared" si="0"/>
        <v>21948.458993557375</v>
      </c>
    </row>
    <row r="13" spans="1:8" x14ac:dyDescent="0.2">
      <c r="A13" s="391" t="s">
        <v>25</v>
      </c>
      <c r="B13" s="434">
        <f>SUM(B8:B12)</f>
        <v>4800000</v>
      </c>
      <c r="C13" s="434">
        <f>SUM(C8:C12)</f>
        <v>0</v>
      </c>
      <c r="D13" s="434"/>
      <c r="E13" s="434">
        <f>SUM(E8:E12)</f>
        <v>0</v>
      </c>
      <c r="F13" s="434">
        <f>SUM(F8:F12)</f>
        <v>4821948.4589935578</v>
      </c>
      <c r="H13" s="456">
        <f t="shared" si="0"/>
        <v>0</v>
      </c>
    </row>
    <row r="14" spans="1:8" x14ac:dyDescent="0.2">
      <c r="A14" s="391"/>
      <c r="B14" s="433"/>
      <c r="C14" s="432"/>
      <c r="D14" s="433"/>
      <c r="E14" s="433"/>
      <c r="F14" s="433"/>
      <c r="H14" s="456">
        <f t="shared" si="0"/>
        <v>0</v>
      </c>
    </row>
    <row r="15" spans="1:8" x14ac:dyDescent="0.2">
      <c r="A15" s="391" t="s">
        <v>11</v>
      </c>
      <c r="B15" s="433"/>
      <c r="C15" s="432"/>
      <c r="D15" s="433"/>
      <c r="E15" s="433"/>
      <c r="F15" s="433"/>
      <c r="H15" s="456">
        <f t="shared" si="0"/>
        <v>0</v>
      </c>
    </row>
    <row r="16" spans="1:8" x14ac:dyDescent="0.2">
      <c r="A16" s="402" t="s">
        <v>12</v>
      </c>
      <c r="B16" s="433">
        <v>250000</v>
      </c>
      <c r="C16" s="432" t="s">
        <v>102</v>
      </c>
      <c r="D16" s="433">
        <f>+'ASIENTOS FISCALES'!E41</f>
        <v>91205.615194054495</v>
      </c>
      <c r="E16" s="433"/>
      <c r="F16" s="433">
        <f>+B16+D16-E16</f>
        <v>341205.6151940545</v>
      </c>
      <c r="H16" s="456">
        <f t="shared" si="0"/>
        <v>91205.615194054495</v>
      </c>
    </row>
    <row r="17" spans="1:8" x14ac:dyDescent="0.2">
      <c r="A17" s="391" t="s">
        <v>33</v>
      </c>
      <c r="B17" s="434">
        <f>SUM(B16)</f>
        <v>250000</v>
      </c>
      <c r="C17" s="434">
        <f>SUM(C16)</f>
        <v>0</v>
      </c>
      <c r="D17" s="434"/>
      <c r="E17" s="434">
        <f>SUM(E16)</f>
        <v>0</v>
      </c>
      <c r="F17" s="434">
        <f>SUM(F16)</f>
        <v>341205.6151940545</v>
      </c>
      <c r="H17" s="456">
        <f t="shared" si="0"/>
        <v>0</v>
      </c>
    </row>
    <row r="18" spans="1:8" x14ac:dyDescent="0.2">
      <c r="A18" s="391"/>
      <c r="B18" s="433"/>
      <c r="C18" s="432"/>
      <c r="D18" s="433"/>
      <c r="E18" s="433"/>
      <c r="F18" s="433"/>
      <c r="H18" s="456">
        <f t="shared" si="0"/>
        <v>0</v>
      </c>
    </row>
    <row r="19" spans="1:8" x14ac:dyDescent="0.2">
      <c r="A19" s="391" t="s">
        <v>5</v>
      </c>
      <c r="B19" s="433"/>
      <c r="C19" s="432"/>
      <c r="D19" s="433"/>
      <c r="E19" s="433"/>
      <c r="F19" s="433"/>
      <c r="H19" s="456">
        <f t="shared" si="0"/>
        <v>0</v>
      </c>
    </row>
    <row r="20" spans="1:8" x14ac:dyDescent="0.2">
      <c r="A20" s="402" t="s">
        <v>63</v>
      </c>
      <c r="B20" s="433">
        <v>2000000</v>
      </c>
      <c r="C20" s="432" t="s">
        <v>102</v>
      </c>
      <c r="D20" s="433">
        <f>+'ASIENTOS FISCALES'!E21</f>
        <v>877938.359742295</v>
      </c>
      <c r="E20" s="433"/>
      <c r="F20" s="433">
        <f t="shared" ref="F20:F53" si="1">+B20+D20-E20</f>
        <v>2877938.359742295</v>
      </c>
      <c r="H20" s="456">
        <f>+D20-E20</f>
        <v>877938.359742295</v>
      </c>
    </row>
    <row r="21" spans="1:8" x14ac:dyDescent="0.2">
      <c r="A21" s="402" t="s">
        <v>6</v>
      </c>
      <c r="B21" s="433">
        <f>+ADICIONAL!B18+ADICIONAL!B19+ADICIONAL!B20</f>
        <v>3000000</v>
      </c>
      <c r="C21" s="432" t="s">
        <v>102</v>
      </c>
      <c r="D21" s="433">
        <f>+'ASIENTOS FISCALES'!E17</f>
        <v>444915.11836431292</v>
      </c>
      <c r="E21" s="433"/>
      <c r="F21" s="433">
        <f t="shared" si="1"/>
        <v>3444915.1183643127</v>
      </c>
      <c r="H21" s="456">
        <f t="shared" si="0"/>
        <v>444915.11836431292</v>
      </c>
    </row>
    <row r="22" spans="1:8" x14ac:dyDescent="0.2">
      <c r="A22" s="402" t="s">
        <v>7</v>
      </c>
      <c r="B22" s="433">
        <f>+ADICIONAL!B25</f>
        <v>400000</v>
      </c>
      <c r="C22" s="432" t="s">
        <v>102</v>
      </c>
      <c r="D22" s="433">
        <f>+'ASIENTOS FISCALES'!E19</f>
        <v>123286.37011239509</v>
      </c>
      <c r="E22" s="433"/>
      <c r="F22" s="433">
        <f t="shared" si="1"/>
        <v>523286.37011239509</v>
      </c>
      <c r="H22" s="456">
        <f t="shared" si="0"/>
        <v>123286.37011239509</v>
      </c>
    </row>
    <row r="23" spans="1:8" x14ac:dyDescent="0.2">
      <c r="A23" s="402" t="s">
        <v>8</v>
      </c>
      <c r="B23" s="433">
        <f>+ADICIONAL!E22</f>
        <v>-83333.333333333343</v>
      </c>
      <c r="C23" s="432" t="s">
        <v>102</v>
      </c>
      <c r="D23" s="433"/>
      <c r="E23" s="433">
        <f>+'ASIENTOS FISCALES'!F18</f>
        <v>26991.252638017708</v>
      </c>
      <c r="F23" s="433">
        <f t="shared" si="1"/>
        <v>-110324.58597135104</v>
      </c>
      <c r="H23" s="456">
        <f t="shared" si="0"/>
        <v>-26991.252638017708</v>
      </c>
    </row>
    <row r="24" spans="1:8" x14ac:dyDescent="0.2">
      <c r="A24" s="402" t="s">
        <v>9</v>
      </c>
      <c r="B24" s="433">
        <f>+ADICIONAL!E27</f>
        <v>-46666.666666666672</v>
      </c>
      <c r="C24" s="432" t="s">
        <v>102</v>
      </c>
      <c r="D24" s="433"/>
      <c r="E24" s="433">
        <f>+'ASIENTOS FISCALES'!F20</f>
        <v>14383.409846446099</v>
      </c>
      <c r="F24" s="433">
        <f t="shared" si="1"/>
        <v>-61050.07651311277</v>
      </c>
      <c r="H24" s="456">
        <f t="shared" si="0"/>
        <v>-14383.409846446099</v>
      </c>
    </row>
    <row r="25" spans="1:8" x14ac:dyDescent="0.2">
      <c r="A25" s="391" t="s">
        <v>10</v>
      </c>
      <c r="B25" s="434">
        <f>SUM(B20:B24)</f>
        <v>5270000</v>
      </c>
      <c r="C25" s="434">
        <f>SUM(C20:C24)</f>
        <v>0</v>
      </c>
      <c r="D25" s="434"/>
      <c r="E25" s="434"/>
      <c r="F25" s="434">
        <f>SUM(F20:F24)</f>
        <v>6674765.1857345393</v>
      </c>
      <c r="H25" s="456">
        <f t="shared" si="0"/>
        <v>0</v>
      </c>
    </row>
    <row r="26" spans="1:8" x14ac:dyDescent="0.2">
      <c r="A26" s="402"/>
      <c r="B26" s="433"/>
      <c r="C26" s="432"/>
      <c r="D26" s="433"/>
      <c r="E26" s="433"/>
      <c r="F26" s="433">
        <f t="shared" si="1"/>
        <v>0</v>
      </c>
      <c r="H26" s="456">
        <f t="shared" si="0"/>
        <v>0</v>
      </c>
    </row>
    <row r="27" spans="1:8" x14ac:dyDescent="0.2">
      <c r="A27" s="391" t="s">
        <v>13</v>
      </c>
      <c r="B27" s="433"/>
      <c r="C27" s="432"/>
      <c r="D27" s="433"/>
      <c r="E27" s="433"/>
      <c r="F27" s="433">
        <f t="shared" si="1"/>
        <v>0</v>
      </c>
      <c r="H27" s="456">
        <f t="shared" si="0"/>
        <v>0</v>
      </c>
    </row>
    <row r="28" spans="1:8" x14ac:dyDescent="0.2">
      <c r="A28" s="402" t="s">
        <v>61</v>
      </c>
      <c r="B28" s="433">
        <v>10000</v>
      </c>
      <c r="C28" s="432" t="s">
        <v>101</v>
      </c>
      <c r="D28" s="433"/>
      <c r="E28" s="433">
        <f>+'ASIENTOS FISCALES'!F33</f>
        <v>10000</v>
      </c>
      <c r="F28" s="433">
        <f t="shared" si="1"/>
        <v>0</v>
      </c>
      <c r="H28" s="456">
        <f t="shared" si="0"/>
        <v>-10000</v>
      </c>
    </row>
    <row r="29" spans="1:8" x14ac:dyDescent="0.2">
      <c r="A29" s="402" t="s">
        <v>62</v>
      </c>
      <c r="B29" s="433">
        <v>50000</v>
      </c>
      <c r="C29" s="432" t="s">
        <v>101</v>
      </c>
      <c r="D29" s="433"/>
      <c r="E29" s="433">
        <f>'ASIENTOS FISCALES'!F34</f>
        <v>50000</v>
      </c>
      <c r="F29" s="433">
        <f t="shared" si="1"/>
        <v>0</v>
      </c>
      <c r="H29" s="456">
        <f t="shared" si="0"/>
        <v>-50000</v>
      </c>
    </row>
    <row r="30" spans="1:8" x14ac:dyDescent="0.2">
      <c r="A30" s="402" t="s">
        <v>14</v>
      </c>
      <c r="B30" s="433">
        <v>25000</v>
      </c>
      <c r="C30" s="432" t="s">
        <v>101</v>
      </c>
      <c r="D30" s="433"/>
      <c r="E30" s="433"/>
      <c r="F30" s="433">
        <f t="shared" si="1"/>
        <v>25000</v>
      </c>
      <c r="H30" s="456">
        <f t="shared" si="0"/>
        <v>0</v>
      </c>
    </row>
    <row r="31" spans="1:8" x14ac:dyDescent="0.2">
      <c r="A31" s="391" t="s">
        <v>30</v>
      </c>
      <c r="B31" s="434">
        <f>SUM(B28:B30)</f>
        <v>85000</v>
      </c>
      <c r="C31" s="434">
        <f>SUM(C28:C30)</f>
        <v>0</v>
      </c>
      <c r="D31" s="434">
        <f>SUM(D28:D30)</f>
        <v>0</v>
      </c>
      <c r="E31" s="434"/>
      <c r="F31" s="434">
        <f>SUM(F28:F30)</f>
        <v>25000</v>
      </c>
      <c r="H31" s="456">
        <f t="shared" si="0"/>
        <v>0</v>
      </c>
    </row>
    <row r="32" spans="1:8" x14ac:dyDescent="0.2">
      <c r="A32" s="391"/>
      <c r="B32" s="433"/>
      <c r="C32" s="432"/>
      <c r="D32" s="433"/>
      <c r="E32" s="433"/>
      <c r="F32" s="433">
        <f t="shared" si="1"/>
        <v>0</v>
      </c>
      <c r="H32" s="456">
        <f t="shared" si="0"/>
        <v>0</v>
      </c>
    </row>
    <row r="33" spans="1:8" x14ac:dyDescent="0.2">
      <c r="A33" s="391" t="s">
        <v>31</v>
      </c>
      <c r="B33" s="434">
        <f>+B13+B17+B25+B31</f>
        <v>10405000</v>
      </c>
      <c r="C33" s="434">
        <f>+C13+C17+C25+C31</f>
        <v>0</v>
      </c>
      <c r="D33" s="434">
        <f>+D13+D17+D25+D31</f>
        <v>0</v>
      </c>
      <c r="E33" s="434">
        <f>+E13+E17+E25+E31</f>
        <v>0</v>
      </c>
      <c r="F33" s="434">
        <f>+F13+F17+F25+F31</f>
        <v>11862919.259922151</v>
      </c>
      <c r="H33" s="456">
        <f t="shared" si="0"/>
        <v>0</v>
      </c>
    </row>
    <row r="34" spans="1:8" x14ac:dyDescent="0.2">
      <c r="A34" s="402"/>
      <c r="B34" s="433"/>
      <c r="C34" s="432"/>
      <c r="D34" s="433"/>
      <c r="E34" s="433"/>
      <c r="F34" s="433">
        <f t="shared" si="1"/>
        <v>0</v>
      </c>
      <c r="H34" s="456">
        <f t="shared" si="0"/>
        <v>0</v>
      </c>
    </row>
    <row r="35" spans="1:8" x14ac:dyDescent="0.2">
      <c r="A35" s="391" t="s">
        <v>15</v>
      </c>
      <c r="B35" s="433"/>
      <c r="C35" s="432"/>
      <c r="D35" s="433"/>
      <c r="E35" s="433"/>
      <c r="F35" s="433">
        <f t="shared" si="1"/>
        <v>0</v>
      </c>
      <c r="H35" s="456">
        <f t="shared" si="0"/>
        <v>0</v>
      </c>
    </row>
    <row r="36" spans="1:8" x14ac:dyDescent="0.2">
      <c r="A36" s="402"/>
      <c r="B36" s="433"/>
      <c r="C36" s="432"/>
      <c r="D36" s="433"/>
      <c r="E36" s="433"/>
      <c r="F36" s="433">
        <f t="shared" si="1"/>
        <v>0</v>
      </c>
      <c r="H36" s="456">
        <f t="shared" si="0"/>
        <v>0</v>
      </c>
    </row>
    <row r="37" spans="1:8" x14ac:dyDescent="0.2">
      <c r="A37" s="391" t="s">
        <v>16</v>
      </c>
      <c r="B37" s="433"/>
      <c r="C37" s="432"/>
      <c r="D37" s="433"/>
      <c r="E37" s="433"/>
      <c r="F37" s="433">
        <f t="shared" si="1"/>
        <v>0</v>
      </c>
      <c r="H37" s="456">
        <f t="shared" si="0"/>
        <v>0</v>
      </c>
    </row>
    <row r="38" spans="1:8" x14ac:dyDescent="0.2">
      <c r="A38" s="402" t="s">
        <v>17</v>
      </c>
      <c r="B38" s="433">
        <v>-3902500</v>
      </c>
      <c r="C38" s="432" t="s">
        <v>101</v>
      </c>
      <c r="D38" s="433"/>
      <c r="E38" s="433"/>
      <c r="F38" s="433">
        <f t="shared" si="1"/>
        <v>-3902500</v>
      </c>
      <c r="H38" s="456">
        <f t="shared" si="0"/>
        <v>0</v>
      </c>
    </row>
    <row r="39" spans="1:8" x14ac:dyDescent="0.2">
      <c r="A39" s="391" t="s">
        <v>26</v>
      </c>
      <c r="B39" s="434">
        <f>SUM(B38)</f>
        <v>-3902500</v>
      </c>
      <c r="C39" s="434">
        <f>SUM(C38)</f>
        <v>0</v>
      </c>
      <c r="D39" s="434">
        <f>SUM(D38)</f>
        <v>0</v>
      </c>
      <c r="E39" s="434">
        <f>SUM(E38)</f>
        <v>0</v>
      </c>
      <c r="F39" s="434">
        <f>SUM(F38)</f>
        <v>-3902500</v>
      </c>
      <c r="H39" s="456">
        <f t="shared" si="0"/>
        <v>0</v>
      </c>
    </row>
    <row r="40" spans="1:8" x14ac:dyDescent="0.2">
      <c r="A40" s="402"/>
      <c r="B40" s="433"/>
      <c r="C40" s="432"/>
      <c r="D40" s="433"/>
      <c r="E40" s="433"/>
      <c r="F40" s="433">
        <f t="shared" si="1"/>
        <v>0</v>
      </c>
      <c r="H40" s="456">
        <f t="shared" si="0"/>
        <v>0</v>
      </c>
    </row>
    <row r="41" spans="1:8" x14ac:dyDescent="0.2">
      <c r="A41" s="391" t="s">
        <v>18</v>
      </c>
      <c r="B41" s="433"/>
      <c r="C41" s="432"/>
      <c r="D41" s="433"/>
      <c r="E41" s="433"/>
      <c r="F41" s="433">
        <f t="shared" si="1"/>
        <v>0</v>
      </c>
      <c r="H41" s="456">
        <f t="shared" si="0"/>
        <v>0</v>
      </c>
    </row>
    <row r="42" spans="1:8" x14ac:dyDescent="0.2">
      <c r="A42" s="402" t="s">
        <v>19</v>
      </c>
      <c r="B42" s="433">
        <v>-1316062</v>
      </c>
      <c r="C42" s="432" t="s">
        <v>101</v>
      </c>
      <c r="D42" s="433"/>
      <c r="E42" s="433"/>
      <c r="F42" s="433">
        <f t="shared" si="1"/>
        <v>-1316062</v>
      </c>
      <c r="H42" s="456">
        <f t="shared" si="0"/>
        <v>0</v>
      </c>
    </row>
    <row r="43" spans="1:8" x14ac:dyDescent="0.2">
      <c r="A43" s="402" t="str">
        <f>BALANCES!A42</f>
        <v>PROVISIONES</v>
      </c>
      <c r="B43" s="433">
        <v>-500000</v>
      </c>
      <c r="C43" s="432" t="s">
        <v>101</v>
      </c>
      <c r="D43" s="433">
        <f>'ASIENTOS FISCALES'!E35</f>
        <v>500000</v>
      </c>
      <c r="E43" s="433"/>
      <c r="F43" s="433">
        <f t="shared" si="1"/>
        <v>0</v>
      </c>
      <c r="H43" s="456">
        <f t="shared" si="0"/>
        <v>500000</v>
      </c>
    </row>
    <row r="44" spans="1:8" x14ac:dyDescent="0.2">
      <c r="A44" s="391" t="s">
        <v>27</v>
      </c>
      <c r="B44" s="434">
        <f>+B42+B43</f>
        <v>-1816062</v>
      </c>
      <c r="C44" s="434"/>
      <c r="D44" s="434"/>
      <c r="E44" s="434">
        <f>+E42+E43</f>
        <v>0</v>
      </c>
      <c r="F44" s="434">
        <f>+F42+F43</f>
        <v>-1316062</v>
      </c>
      <c r="H44" s="456">
        <f t="shared" si="0"/>
        <v>0</v>
      </c>
    </row>
    <row r="45" spans="1:8" x14ac:dyDescent="0.2">
      <c r="A45" s="391"/>
      <c r="B45" s="434"/>
      <c r="C45" s="432"/>
      <c r="D45" s="433"/>
      <c r="E45" s="433"/>
      <c r="F45" s="433">
        <f t="shared" si="1"/>
        <v>0</v>
      </c>
      <c r="H45" s="456">
        <f t="shared" si="0"/>
        <v>0</v>
      </c>
    </row>
    <row r="46" spans="1:8" x14ac:dyDescent="0.2">
      <c r="A46" s="391" t="s">
        <v>20</v>
      </c>
      <c r="B46" s="433"/>
      <c r="C46" s="432"/>
      <c r="D46" s="433"/>
      <c r="E46" s="433"/>
      <c r="F46" s="433">
        <f t="shared" si="1"/>
        <v>0</v>
      </c>
      <c r="H46" s="456">
        <f t="shared" si="0"/>
        <v>0</v>
      </c>
    </row>
    <row r="47" spans="1:8" x14ac:dyDescent="0.2">
      <c r="A47" s="402" t="s">
        <v>21</v>
      </c>
      <c r="B47" s="433">
        <v>-3000000</v>
      </c>
      <c r="C47" s="432" t="s">
        <v>102</v>
      </c>
      <c r="D47" s="433"/>
      <c r="E47" s="433"/>
      <c r="F47" s="433">
        <f t="shared" si="1"/>
        <v>-3000000</v>
      </c>
      <c r="H47" s="456">
        <f t="shared" si="0"/>
        <v>0</v>
      </c>
    </row>
    <row r="48" spans="1:8" x14ac:dyDescent="0.2">
      <c r="A48" s="402" t="s">
        <v>22</v>
      </c>
      <c r="B48" s="433">
        <v>-89250</v>
      </c>
      <c r="C48" s="432" t="s">
        <v>102</v>
      </c>
      <c r="D48" s="433"/>
      <c r="E48" s="433"/>
      <c r="F48" s="433">
        <f t="shared" si="1"/>
        <v>-89250</v>
      </c>
      <c r="H48" s="456">
        <f t="shared" si="0"/>
        <v>0</v>
      </c>
    </row>
    <row r="49" spans="1:8" x14ac:dyDescent="0.2">
      <c r="A49" s="402" t="s">
        <v>23</v>
      </c>
      <c r="B49" s="433">
        <v>-1597188</v>
      </c>
      <c r="C49" s="432" t="s">
        <v>102</v>
      </c>
      <c r="D49" s="433"/>
      <c r="E49" s="433"/>
      <c r="F49" s="433">
        <f t="shared" si="1"/>
        <v>-1597188</v>
      </c>
      <c r="H49" s="456">
        <f t="shared" si="0"/>
        <v>0</v>
      </c>
    </row>
    <row r="50" spans="1:8" x14ac:dyDescent="0.2">
      <c r="A50" s="402" t="s">
        <v>105</v>
      </c>
      <c r="B50" s="433"/>
      <c r="C50" s="432"/>
      <c r="D50" s="433">
        <f>+'ASIENTOS FISCALES'!E32</f>
        <v>0</v>
      </c>
      <c r="E50" s="433">
        <f>'ASIENTOS FISCALES'!I34</f>
        <v>440000</v>
      </c>
      <c r="F50" s="433">
        <f t="shared" si="1"/>
        <v>-440000</v>
      </c>
      <c r="H50" s="456">
        <f t="shared" si="0"/>
        <v>-440000</v>
      </c>
    </row>
    <row r="51" spans="1:8" x14ac:dyDescent="0.2">
      <c r="A51" s="402" t="s">
        <v>106</v>
      </c>
      <c r="B51" s="433"/>
      <c r="C51" s="432"/>
      <c r="D51" s="433"/>
      <c r="E51" s="433">
        <f>'ASIENTOS FISCALES'!J29*-1</f>
        <v>1517919.2599221512</v>
      </c>
      <c r="F51" s="433">
        <f t="shared" si="1"/>
        <v>-1517919.2599221512</v>
      </c>
      <c r="H51" s="456">
        <f t="shared" si="0"/>
        <v>-1517919.2599221512</v>
      </c>
    </row>
    <row r="52" spans="1:8" x14ac:dyDescent="0.2">
      <c r="A52" s="391" t="s">
        <v>28</v>
      </c>
      <c r="B52" s="434">
        <f>SUM(B47:B51)</f>
        <v>-4686438</v>
      </c>
      <c r="C52" s="434">
        <f>SUM(C47:C51)</f>
        <v>0</v>
      </c>
      <c r="D52" s="434">
        <f>SUM(D47:D51)</f>
        <v>0</v>
      </c>
      <c r="E52" s="434">
        <f>SUM(E47:E51)</f>
        <v>1957919.2599221512</v>
      </c>
      <c r="F52" s="434">
        <f>SUM(F47:F51)</f>
        <v>-6644357.2599221515</v>
      </c>
      <c r="H52" s="456">
        <f t="shared" si="0"/>
        <v>-1957919.2599221512</v>
      </c>
    </row>
    <row r="53" spans="1:8" x14ac:dyDescent="0.2">
      <c r="A53" s="402"/>
      <c r="B53" s="433"/>
      <c r="C53" s="432"/>
      <c r="D53" s="433"/>
      <c r="E53" s="433"/>
      <c r="F53" s="433">
        <f t="shared" si="1"/>
        <v>0</v>
      </c>
      <c r="H53" s="456">
        <f t="shared" si="0"/>
        <v>0</v>
      </c>
    </row>
    <row r="54" spans="1:8" x14ac:dyDescent="0.2">
      <c r="A54" s="391" t="s">
        <v>29</v>
      </c>
      <c r="B54" s="434">
        <f>+B39+B44+B52</f>
        <v>-10405000</v>
      </c>
      <c r="C54" s="434">
        <f>+C39+C44+C52</f>
        <v>0</v>
      </c>
      <c r="D54" s="434">
        <f>+D39+D44+D52</f>
        <v>0</v>
      </c>
      <c r="E54" s="434">
        <f>+E39+E44+E52</f>
        <v>1957919.2599221512</v>
      </c>
      <c r="F54" s="434">
        <f>+F39+F44+F52</f>
        <v>-11862919.259922151</v>
      </c>
      <c r="H54" s="456">
        <f t="shared" si="0"/>
        <v>-1957919.2599221512</v>
      </c>
    </row>
    <row r="55" spans="1:8" x14ac:dyDescent="0.2">
      <c r="A55" s="402"/>
      <c r="B55" s="433"/>
      <c r="C55" s="432"/>
      <c r="D55" s="433"/>
      <c r="E55" s="433"/>
      <c r="F55" s="433">
        <f>+F33+F54</f>
        <v>0</v>
      </c>
      <c r="H55" s="456">
        <f t="shared" si="0"/>
        <v>0</v>
      </c>
    </row>
  </sheetData>
  <mergeCells count="1">
    <mergeCell ref="D5:E5"/>
  </mergeCells>
  <phoneticPr fontId="0" type="noConversion"/>
  <pageMargins left="0.21" right="0.23" top="0.71" bottom="0.21" header="0" footer="0"/>
  <pageSetup scale="81" orientation="portrait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0"/>
  <sheetViews>
    <sheetView topLeftCell="D1" zoomScale="75" zoomScaleNormal="75" workbookViewId="0">
      <selection activeCell="U23" sqref="U23"/>
    </sheetView>
  </sheetViews>
  <sheetFormatPr baseColWidth="10" defaultRowHeight="15.75" x14ac:dyDescent="0.25"/>
  <cols>
    <col min="1" max="1" width="23.5703125" style="81" customWidth="1"/>
    <col min="2" max="2" width="12.28515625" style="410" bestFit="1" customWidth="1"/>
    <col min="3" max="3" width="11.85546875" style="411" bestFit="1" customWidth="1"/>
    <col min="4" max="4" width="11.5703125" style="77" bestFit="1" customWidth="1"/>
    <col min="5" max="5" width="11" style="81" bestFit="1" customWidth="1"/>
    <col min="6" max="7" width="12.85546875" style="81" bestFit="1" customWidth="1"/>
    <col min="8" max="9" width="14.42578125" style="81" bestFit="1" customWidth="1"/>
    <col min="10" max="10" width="12.7109375" style="81" bestFit="1" customWidth="1"/>
    <col min="11" max="11" width="15" style="81" bestFit="1" customWidth="1"/>
    <col min="12" max="12" width="12.85546875" style="81" bestFit="1" customWidth="1"/>
    <col min="13" max="14" width="14.5703125" style="81" bestFit="1" customWidth="1"/>
    <col min="15" max="15" width="16.85546875" style="81" bestFit="1" customWidth="1"/>
    <col min="16" max="16" width="14.85546875" style="81" bestFit="1" customWidth="1"/>
    <col min="17" max="17" width="14" style="81" bestFit="1" customWidth="1"/>
    <col min="18" max="18" width="15.140625" style="81" bestFit="1" customWidth="1"/>
    <col min="19" max="19" width="13.42578125" style="81" bestFit="1" customWidth="1"/>
    <col min="20" max="20" width="11.5703125" style="81" bestFit="1" customWidth="1"/>
    <col min="21" max="21" width="13.42578125" style="81" bestFit="1" customWidth="1"/>
    <col min="22" max="16384" width="11.42578125" style="81"/>
  </cols>
  <sheetData>
    <row r="1" spans="1:21" x14ac:dyDescent="0.25">
      <c r="A1" s="317" t="s">
        <v>80</v>
      </c>
    </row>
    <row r="2" spans="1:21" x14ac:dyDescent="0.25">
      <c r="A2" s="317" t="s">
        <v>81</v>
      </c>
      <c r="B2" s="81"/>
      <c r="C2" s="412"/>
    </row>
    <row r="3" spans="1:21" x14ac:dyDescent="0.25">
      <c r="A3" s="317" t="s">
        <v>64</v>
      </c>
      <c r="B3" s="413"/>
      <c r="C3" s="413"/>
      <c r="D3" s="414"/>
      <c r="E3" s="413"/>
      <c r="G3" s="81" t="s">
        <v>285</v>
      </c>
      <c r="H3" s="81" t="s">
        <v>284</v>
      </c>
    </row>
    <row r="4" spans="1:21" x14ac:dyDescent="0.25">
      <c r="A4" s="318" t="s">
        <v>117</v>
      </c>
      <c r="B4" s="415"/>
      <c r="F4" s="52" t="s">
        <v>279</v>
      </c>
      <c r="G4" s="81">
        <f>'IPC-INPC'!H15</f>
        <v>826.4</v>
      </c>
      <c r="H4" s="76">
        <f>'IPC-INPC'!H3</f>
        <v>2146.1</v>
      </c>
    </row>
    <row r="5" spans="1:21" x14ac:dyDescent="0.25">
      <c r="A5" s="55" t="s">
        <v>266</v>
      </c>
      <c r="F5" s="52" t="s">
        <v>280</v>
      </c>
      <c r="G5" s="81">
        <f>'IPC-INPC'!D15</f>
        <v>839.5</v>
      </c>
      <c r="H5" s="76">
        <f>'IPC-INPC'!D3</f>
        <v>2357.9</v>
      </c>
    </row>
    <row r="6" spans="1:21" x14ac:dyDescent="0.25">
      <c r="A6" s="55" t="s">
        <v>267</v>
      </c>
    </row>
    <row r="7" spans="1:21" x14ac:dyDescent="0.25">
      <c r="A7" s="55"/>
    </row>
    <row r="8" spans="1:21" s="157" customFormat="1" ht="16.5" x14ac:dyDescent="0.3">
      <c r="A8" s="80"/>
      <c r="B8" s="154"/>
      <c r="C8" s="155"/>
      <c r="D8" s="156"/>
    </row>
    <row r="9" spans="1:21" s="157" customFormat="1" ht="16.5" x14ac:dyDescent="0.3">
      <c r="B9" s="154"/>
      <c r="C9" s="155"/>
      <c r="D9" s="156"/>
      <c r="E9" s="162"/>
    </row>
    <row r="10" spans="1:21" s="196" customFormat="1" ht="14.25" customHeight="1" x14ac:dyDescent="0.3">
      <c r="A10" s="194" t="s">
        <v>121</v>
      </c>
      <c r="B10" s="195" t="s">
        <v>122</v>
      </c>
      <c r="C10" s="194" t="s">
        <v>123</v>
      </c>
      <c r="D10" s="194" t="s">
        <v>124</v>
      </c>
      <c r="E10" s="194" t="s">
        <v>125</v>
      </c>
      <c r="F10" s="194" t="s">
        <v>126</v>
      </c>
      <c r="G10" s="194" t="s">
        <v>127</v>
      </c>
      <c r="H10" s="194" t="s">
        <v>128</v>
      </c>
      <c r="I10" s="194" t="s">
        <v>129</v>
      </c>
      <c r="J10" s="194" t="s">
        <v>130</v>
      </c>
      <c r="K10" s="194" t="s">
        <v>131</v>
      </c>
      <c r="L10" s="194" t="s">
        <v>159</v>
      </c>
      <c r="M10" s="194" t="s">
        <v>135</v>
      </c>
      <c r="N10" s="194" t="s">
        <v>136</v>
      </c>
      <c r="O10" s="194" t="s">
        <v>160</v>
      </c>
      <c r="P10" s="194" t="s">
        <v>161</v>
      </c>
      <c r="Q10" s="194" t="s">
        <v>162</v>
      </c>
      <c r="R10" s="194" t="s">
        <v>163</v>
      </c>
      <c r="S10" s="194" t="s">
        <v>164</v>
      </c>
      <c r="T10" s="194" t="s">
        <v>165</v>
      </c>
      <c r="U10" s="194" t="s">
        <v>166</v>
      </c>
    </row>
    <row r="11" spans="1:21" s="196" customFormat="1" ht="14.25" customHeight="1" x14ac:dyDescent="0.3">
      <c r="A11" s="197"/>
      <c r="B11" s="198" t="s">
        <v>137</v>
      </c>
      <c r="C11" s="199" t="s">
        <v>295</v>
      </c>
      <c r="D11" s="200" t="s">
        <v>138</v>
      </c>
      <c r="E11" s="200" t="s">
        <v>280</v>
      </c>
      <c r="F11" s="201" t="s">
        <v>139</v>
      </c>
      <c r="G11" s="202" t="s">
        <v>139</v>
      </c>
      <c r="H11" s="203" t="s">
        <v>48</v>
      </c>
      <c r="I11" s="204" t="s">
        <v>167</v>
      </c>
      <c r="J11" s="205" t="s">
        <v>168</v>
      </c>
      <c r="K11" s="204" t="s">
        <v>169</v>
      </c>
      <c r="L11" s="204" t="s">
        <v>170</v>
      </c>
      <c r="M11" s="203" t="s">
        <v>48</v>
      </c>
      <c r="N11" s="206" t="s">
        <v>167</v>
      </c>
      <c r="O11" s="205" t="s">
        <v>171</v>
      </c>
      <c r="P11" s="204" t="s">
        <v>169</v>
      </c>
      <c r="Q11" s="204" t="s">
        <v>170</v>
      </c>
      <c r="R11" s="207" t="s">
        <v>144</v>
      </c>
      <c r="S11" s="351"/>
      <c r="T11" s="351"/>
      <c r="U11" s="351"/>
    </row>
    <row r="12" spans="1:21" s="196" customFormat="1" ht="14.25" customHeight="1" x14ac:dyDescent="0.3">
      <c r="A12" s="209" t="s">
        <v>172</v>
      </c>
      <c r="B12" s="210" t="s">
        <v>173</v>
      </c>
      <c r="C12" s="211" t="s">
        <v>174</v>
      </c>
      <c r="D12" s="212" t="s">
        <v>113</v>
      </c>
      <c r="E12" s="212" t="s">
        <v>113</v>
      </c>
      <c r="F12" s="213" t="s">
        <v>147</v>
      </c>
      <c r="G12" s="214" t="s">
        <v>147</v>
      </c>
      <c r="H12" s="215" t="s">
        <v>111</v>
      </c>
      <c r="I12" s="215" t="s">
        <v>157</v>
      </c>
      <c r="J12" s="215" t="s">
        <v>175</v>
      </c>
      <c r="K12" s="215" t="s">
        <v>176</v>
      </c>
      <c r="L12" s="215" t="s">
        <v>150</v>
      </c>
      <c r="M12" s="215" t="s">
        <v>111</v>
      </c>
      <c r="N12" s="216" t="s">
        <v>157</v>
      </c>
      <c r="O12" s="215" t="s">
        <v>177</v>
      </c>
      <c r="P12" s="216" t="str">
        <f>+N12</f>
        <v>ACTUALIZADO</v>
      </c>
      <c r="Q12" s="215" t="s">
        <v>150</v>
      </c>
      <c r="R12" s="208" t="s">
        <v>178</v>
      </c>
      <c r="S12" s="352"/>
      <c r="T12" s="352"/>
      <c r="U12" s="352"/>
    </row>
    <row r="13" spans="1:21" s="196" customFormat="1" ht="14.25" customHeight="1" x14ac:dyDescent="0.3">
      <c r="A13" s="217" t="s">
        <v>179</v>
      </c>
      <c r="B13" s="218" t="s">
        <v>180</v>
      </c>
      <c r="C13" s="219" t="s">
        <v>181</v>
      </c>
      <c r="D13" s="220" t="s">
        <v>154</v>
      </c>
      <c r="E13" s="220" t="s">
        <v>155</v>
      </c>
      <c r="F13" s="221" t="s">
        <v>261</v>
      </c>
      <c r="G13" s="221" t="s">
        <v>268</v>
      </c>
      <c r="H13" s="221" t="str">
        <f>+F13</f>
        <v>AL 31-12-2014</v>
      </c>
      <c r="I13" s="221" t="str">
        <f>+F13</f>
        <v>AL 31-12-2014</v>
      </c>
      <c r="J13" s="221" t="str">
        <f>+F13</f>
        <v>AL 31-12-2014</v>
      </c>
      <c r="K13" s="221" t="str">
        <f>+F13</f>
        <v>AL 31-12-2014</v>
      </c>
      <c r="L13" s="221" t="str">
        <f>+F13</f>
        <v>AL 31-12-2014</v>
      </c>
      <c r="M13" s="221" t="s">
        <v>268</v>
      </c>
      <c r="N13" s="221" t="str">
        <f>+M13</f>
        <v>AL 31-12-2015</v>
      </c>
      <c r="O13" s="221" t="str">
        <f>+N13</f>
        <v>AL 31-12-2015</v>
      </c>
      <c r="P13" s="221" t="str">
        <f>+N13</f>
        <v>AL 31-12-2015</v>
      </c>
      <c r="Q13" s="221" t="str">
        <f>+P13</f>
        <v>AL 31-12-2015</v>
      </c>
      <c r="R13" s="222" t="str">
        <f>+Q13</f>
        <v>AL 31-12-2015</v>
      </c>
      <c r="S13" s="353"/>
      <c r="T13" s="353"/>
      <c r="U13" s="353"/>
    </row>
    <row r="14" spans="1:21" s="196" customFormat="1" ht="14.25" customHeight="1" x14ac:dyDescent="0.3">
      <c r="A14" s="209"/>
      <c r="B14" s="223"/>
      <c r="C14" s="224"/>
      <c r="D14" s="224"/>
      <c r="E14" s="224"/>
      <c r="F14" s="225"/>
      <c r="G14" s="226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</row>
    <row r="15" spans="1:21" s="196" customFormat="1" ht="14.25" customHeight="1" x14ac:dyDescent="0.3">
      <c r="A15" s="241" t="s">
        <v>34</v>
      </c>
      <c r="B15" s="242">
        <v>41760</v>
      </c>
      <c r="C15" s="235">
        <f>VLOOKUP(B15,IPCINPC,2,)</f>
        <v>605.5</v>
      </c>
      <c r="D15" s="235">
        <f>$G$4</f>
        <v>826.4</v>
      </c>
      <c r="E15" s="235">
        <f>$H$5</f>
        <v>2357.9</v>
      </c>
      <c r="F15" s="225">
        <f t="shared" ref="F15:F18" si="0">(D15/C15)</f>
        <v>1.364822460776218</v>
      </c>
      <c r="G15" s="226">
        <f t="shared" ref="G15:G18" si="1">(E15/C15)</f>
        <v>3.8941370767960364</v>
      </c>
      <c r="H15" s="243">
        <v>1000000</v>
      </c>
      <c r="I15" s="227">
        <f>H15*F15</f>
        <v>1364822.460776218</v>
      </c>
      <c r="J15" s="227">
        <f>+H15/120*8</f>
        <v>66666.666666666672</v>
      </c>
      <c r="K15" s="227">
        <f>J15*F15</f>
        <v>90988.164051747881</v>
      </c>
      <c r="L15" s="227">
        <f>((+I15-H15)-(K15-J15))</f>
        <v>340500.96339113679</v>
      </c>
      <c r="M15" s="227">
        <v>1000000</v>
      </c>
      <c r="N15" s="227">
        <f>(M15*G15)</f>
        <v>3894137.0767960362</v>
      </c>
      <c r="O15" s="227">
        <f>+M15/120*20</f>
        <v>166666.66666666669</v>
      </c>
      <c r="P15" s="227">
        <f>(G15*O15)</f>
        <v>649022.84613267286</v>
      </c>
      <c r="Q15" s="227">
        <f>((N15-M15)-(P15-O15))</f>
        <v>2411780.8973300299</v>
      </c>
      <c r="R15" s="227">
        <f>+Q15-L15</f>
        <v>2071279.933938893</v>
      </c>
      <c r="S15" s="227">
        <f>+(N15-M15)-(I15-H15)</f>
        <v>2529314.616019818</v>
      </c>
      <c r="T15" s="227">
        <f>+(P15-O15)-(K15-J15)</f>
        <v>458034.68208092498</v>
      </c>
      <c r="U15" s="227">
        <f>+S15-T15</f>
        <v>2071279.933938893</v>
      </c>
    </row>
    <row r="16" spans="1:21" s="196" customFormat="1" ht="14.25" customHeight="1" x14ac:dyDescent="0.3">
      <c r="A16" s="241" t="s">
        <v>35</v>
      </c>
      <c r="B16" s="242">
        <v>41883</v>
      </c>
      <c r="C16" s="235">
        <f>VLOOKUP(B16,IPCINPC,2,)</f>
        <v>712.3</v>
      </c>
      <c r="D16" s="235">
        <f t="shared" ref="D16:D18" si="2">$G$4</f>
        <v>826.4</v>
      </c>
      <c r="E16" s="235">
        <f t="shared" ref="E16:E18" si="3">$H$5</f>
        <v>2357.9</v>
      </c>
      <c r="F16" s="225">
        <f t="shared" si="0"/>
        <v>1.1601853151761898</v>
      </c>
      <c r="G16" s="226">
        <f t="shared" si="1"/>
        <v>3.310262529832936</v>
      </c>
      <c r="H16" s="243">
        <v>500000</v>
      </c>
      <c r="I16" s="227">
        <f t="shared" ref="I16:I18" si="4">H16*F16</f>
        <v>580092.65758809494</v>
      </c>
      <c r="J16" s="227">
        <f>+H16/120*4</f>
        <v>16666.666666666668</v>
      </c>
      <c r="K16" s="227">
        <f t="shared" ref="K16:K18" si="5">J16*F16</f>
        <v>19336.421919603166</v>
      </c>
      <c r="L16" s="227">
        <f t="shared" ref="L16:L18" si="6">((+I16-H16)-(K16-J16))</f>
        <v>77422.902335158433</v>
      </c>
      <c r="M16" s="227">
        <v>500000</v>
      </c>
      <c r="N16" s="227">
        <f t="shared" ref="N16:N18" si="7">(M16*G16)</f>
        <v>1655131.2649164679</v>
      </c>
      <c r="O16" s="227">
        <f>+M16/120*16</f>
        <v>66666.666666666672</v>
      </c>
      <c r="P16" s="227">
        <f t="shared" ref="P16:P18" si="8">(G16*O16)</f>
        <v>220684.16865552909</v>
      </c>
      <c r="Q16" s="227">
        <f t="shared" ref="Q16:Q18" si="9">((N16-M16)-(P16-O16))</f>
        <v>1001113.7629276055</v>
      </c>
      <c r="R16" s="227">
        <f>+Q16-L16</f>
        <v>923690.8605924471</v>
      </c>
      <c r="S16" s="227">
        <f>+(N16-M16)-(I16-H16)</f>
        <v>1075038.607328373</v>
      </c>
      <c r="T16" s="227">
        <f>+(P16-O16)-(K16-J16)</f>
        <v>151347.7467359259</v>
      </c>
      <c r="U16" s="227">
        <f>+S16-T16</f>
        <v>923690.8605924471</v>
      </c>
    </row>
    <row r="17" spans="1:21" s="196" customFormat="1" ht="14.25" customHeight="1" x14ac:dyDescent="0.3">
      <c r="A17" s="241" t="s">
        <v>36</v>
      </c>
      <c r="B17" s="242">
        <v>41974</v>
      </c>
      <c r="C17" s="235">
        <f>VLOOKUP(B17,IPCINPC,2,)</f>
        <v>826.4</v>
      </c>
      <c r="D17" s="235">
        <f t="shared" si="2"/>
        <v>826.4</v>
      </c>
      <c r="E17" s="235">
        <f t="shared" si="3"/>
        <v>2357.9</v>
      </c>
      <c r="F17" s="225">
        <f t="shared" si="0"/>
        <v>1</v>
      </c>
      <c r="G17" s="226">
        <f t="shared" si="1"/>
        <v>2.8532187802516944</v>
      </c>
      <c r="H17" s="243">
        <v>1500000</v>
      </c>
      <c r="I17" s="227">
        <f t="shared" si="4"/>
        <v>1500000</v>
      </c>
      <c r="J17" s="227">
        <f>+H17/120*0</f>
        <v>0</v>
      </c>
      <c r="K17" s="227">
        <f t="shared" si="5"/>
        <v>0</v>
      </c>
      <c r="L17" s="227">
        <f t="shared" si="6"/>
        <v>0</v>
      </c>
      <c r="M17" s="227">
        <v>1500000</v>
      </c>
      <c r="N17" s="227">
        <f t="shared" si="7"/>
        <v>4279828.1703775413</v>
      </c>
      <c r="O17" s="227">
        <f>+M17/120*12</f>
        <v>150000</v>
      </c>
      <c r="P17" s="227">
        <f t="shared" si="8"/>
        <v>427982.81703775417</v>
      </c>
      <c r="Q17" s="227">
        <f t="shared" si="9"/>
        <v>2501845.3533397871</v>
      </c>
      <c r="R17" s="227">
        <f>+Q17-L17</f>
        <v>2501845.3533397871</v>
      </c>
      <c r="S17" s="227">
        <f>+(N17-M17)-(I17-H17)</f>
        <v>2779828.1703775413</v>
      </c>
      <c r="T17" s="227">
        <f>+(P17-O17)-(K17-J17)</f>
        <v>277982.81703775417</v>
      </c>
      <c r="U17" s="227">
        <f>+S17-T17</f>
        <v>2501845.3533397871</v>
      </c>
    </row>
    <row r="18" spans="1:21" s="196" customFormat="1" ht="14.25" customHeight="1" x14ac:dyDescent="0.3">
      <c r="A18" s="241" t="s">
        <v>37</v>
      </c>
      <c r="B18" s="242">
        <v>42064</v>
      </c>
      <c r="C18" s="235">
        <f>VLOOKUP(B18,IPCINPC,2,)</f>
        <v>1000.2</v>
      </c>
      <c r="D18" s="235"/>
      <c r="E18" s="235">
        <f t="shared" si="3"/>
        <v>2357.9</v>
      </c>
      <c r="F18" s="225">
        <f t="shared" si="0"/>
        <v>0</v>
      </c>
      <c r="G18" s="226">
        <f t="shared" si="1"/>
        <v>2.3574285142971405</v>
      </c>
      <c r="H18" s="227">
        <v>0</v>
      </c>
      <c r="I18" s="227">
        <f t="shared" si="4"/>
        <v>0</v>
      </c>
      <c r="J18" s="227">
        <f>+H18/120*8</f>
        <v>0</v>
      </c>
      <c r="K18" s="227">
        <f t="shared" si="5"/>
        <v>0</v>
      </c>
      <c r="L18" s="227">
        <f t="shared" si="6"/>
        <v>0</v>
      </c>
      <c r="M18" s="227">
        <v>1000000</v>
      </c>
      <c r="N18" s="227">
        <f t="shared" si="7"/>
        <v>2357428.5142971403</v>
      </c>
      <c r="O18" s="227">
        <f>+M18/120*10</f>
        <v>83333.333333333343</v>
      </c>
      <c r="P18" s="227">
        <f t="shared" si="8"/>
        <v>196452.3761914284</v>
      </c>
      <c r="Q18" s="227">
        <f t="shared" si="9"/>
        <v>1244309.4714390452</v>
      </c>
      <c r="R18" s="227">
        <f>+Q18-L18</f>
        <v>1244309.4714390452</v>
      </c>
      <c r="S18" s="227">
        <f>+(N18-M18)-(I18-H18)</f>
        <v>1357428.5142971403</v>
      </c>
      <c r="T18" s="227">
        <f>+(P18-O18)-(K18-J18)</f>
        <v>113119.04285809505</v>
      </c>
      <c r="U18" s="227">
        <f>+S18-T18</f>
        <v>1244309.4714390452</v>
      </c>
    </row>
    <row r="19" spans="1:21" s="230" customFormat="1" ht="14.25" customHeight="1" x14ac:dyDescent="0.3">
      <c r="A19" s="239" t="s">
        <v>49</v>
      </c>
      <c r="B19" s="244"/>
      <c r="C19" s="236"/>
      <c r="D19" s="236"/>
      <c r="E19" s="236"/>
      <c r="F19" s="237"/>
      <c r="G19" s="238"/>
      <c r="H19" s="240">
        <f>SUM(H15:H18)</f>
        <v>3000000</v>
      </c>
      <c r="I19" s="240">
        <f t="shared" ref="I19:U19" si="10">SUM(I15:I18)</f>
        <v>3444915.1183643127</v>
      </c>
      <c r="J19" s="240">
        <f t="shared" si="10"/>
        <v>83333.333333333343</v>
      </c>
      <c r="K19" s="240">
        <f t="shared" si="10"/>
        <v>110324.58597135104</v>
      </c>
      <c r="L19" s="240">
        <f t="shared" si="10"/>
        <v>417923.86572629522</v>
      </c>
      <c r="M19" s="240">
        <f t="shared" si="10"/>
        <v>4000000</v>
      </c>
      <c r="N19" s="240">
        <f t="shared" si="10"/>
        <v>12186525.026387187</v>
      </c>
      <c r="O19" s="240">
        <f t="shared" si="10"/>
        <v>466666.66666666674</v>
      </c>
      <c r="P19" s="240">
        <f t="shared" si="10"/>
        <v>1494142.2080173846</v>
      </c>
      <c r="Q19" s="240">
        <f t="shared" si="10"/>
        <v>7159049.4850364681</v>
      </c>
      <c r="R19" s="240">
        <f t="shared" si="10"/>
        <v>6741125.6193101723</v>
      </c>
      <c r="S19" s="240">
        <f t="shared" si="10"/>
        <v>7741609.9080228731</v>
      </c>
      <c r="T19" s="240">
        <f t="shared" si="10"/>
        <v>1000484.2887127</v>
      </c>
      <c r="U19" s="457">
        <f t="shared" si="10"/>
        <v>6741125.6193101723</v>
      </c>
    </row>
    <row r="20" spans="1:21" s="196" customFormat="1" ht="14.25" customHeight="1" x14ac:dyDescent="0.3">
      <c r="A20" s="239"/>
      <c r="B20" s="242"/>
      <c r="C20" s="235"/>
      <c r="D20" s="235"/>
      <c r="E20" s="235"/>
      <c r="F20" s="225"/>
      <c r="G20" s="226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</row>
    <row r="21" spans="1:21" s="196" customFormat="1" ht="14.25" customHeight="1" x14ac:dyDescent="0.3">
      <c r="A21" s="241" t="s">
        <v>216</v>
      </c>
      <c r="B21" s="242">
        <v>41791</v>
      </c>
      <c r="C21" s="235">
        <f>VLOOKUP(B21,IPCINPC,2,)</f>
        <v>631.70000000000005</v>
      </c>
      <c r="D21" s="235">
        <f t="shared" ref="D21:D22" si="11">$G$4</f>
        <v>826.4</v>
      </c>
      <c r="E21" s="235">
        <f t="shared" ref="E21:E22" si="12">$H$5</f>
        <v>2357.9</v>
      </c>
      <c r="F21" s="225">
        <f t="shared" ref="F21:F22" si="13">(D21/C21)</f>
        <v>1.3082159252809877</v>
      </c>
      <c r="G21" s="226">
        <f t="shared" ref="G21:G22" si="14">(E21/C21)</f>
        <v>3.7326262466360611</v>
      </c>
      <c r="H21" s="227">
        <v>400000</v>
      </c>
      <c r="I21" s="227">
        <f t="shared" ref="I21:I22" si="15">H21*F21</f>
        <v>523286.37011239509</v>
      </c>
      <c r="J21" s="227">
        <f>+H21/60*7</f>
        <v>46666.666666666672</v>
      </c>
      <c r="K21" s="227">
        <f t="shared" ref="K21:K22" si="16">J21*F21</f>
        <v>61050.07651311277</v>
      </c>
      <c r="L21" s="227">
        <f t="shared" ref="L21:L22" si="17">((+I21-H21)-(K21-J21))</f>
        <v>108902.96026594899</v>
      </c>
      <c r="M21" s="227">
        <v>400000</v>
      </c>
      <c r="N21" s="227">
        <f t="shared" ref="N21:N22" si="18">(M21*G21)</f>
        <v>1493050.4986544244</v>
      </c>
      <c r="O21" s="227">
        <f>+M21/60*19</f>
        <v>126666.66666666667</v>
      </c>
      <c r="P21" s="227">
        <f t="shared" ref="P21:P22" si="19">(G21*O21)</f>
        <v>472799.32457390107</v>
      </c>
      <c r="Q21" s="227">
        <f t="shared" ref="Q21:Q22" si="20">((N21-M21)-(P21-O21))</f>
        <v>746917.84074719006</v>
      </c>
      <c r="R21" s="227">
        <f>+Q21-L21</f>
        <v>638014.88048124104</v>
      </c>
      <c r="S21" s="227">
        <f>+(N21-M21)-(I21-H21)</f>
        <v>969764.1285420293</v>
      </c>
      <c r="T21" s="227">
        <f>+(P21-O21)-(K21-J21)</f>
        <v>331749.24806078826</v>
      </c>
      <c r="U21" s="227">
        <f>+S21-T21</f>
        <v>638014.88048124104</v>
      </c>
    </row>
    <row r="22" spans="1:21" s="196" customFormat="1" ht="14.25" customHeight="1" x14ac:dyDescent="0.3">
      <c r="A22" s="241" t="s">
        <v>42</v>
      </c>
      <c r="B22" s="242">
        <v>42217</v>
      </c>
      <c r="C22" s="235">
        <f>VLOOKUP(B22,IPCINPC,2,)</f>
        <v>1570.8</v>
      </c>
      <c r="D22" s="235"/>
      <c r="E22" s="235">
        <f t="shared" si="12"/>
        <v>2357.9</v>
      </c>
      <c r="F22" s="225">
        <f t="shared" si="13"/>
        <v>0</v>
      </c>
      <c r="G22" s="226">
        <f t="shared" si="14"/>
        <v>1.5010822510822512</v>
      </c>
      <c r="H22" s="227">
        <v>0</v>
      </c>
      <c r="I22" s="227">
        <f t="shared" si="15"/>
        <v>0</v>
      </c>
      <c r="J22" s="227">
        <f>+H22/60*7</f>
        <v>0</v>
      </c>
      <c r="K22" s="227">
        <f t="shared" si="16"/>
        <v>0</v>
      </c>
      <c r="L22" s="227">
        <f t="shared" si="17"/>
        <v>0</v>
      </c>
      <c r="M22" s="227">
        <v>250000</v>
      </c>
      <c r="N22" s="227">
        <f t="shared" si="18"/>
        <v>375270.56277056283</v>
      </c>
      <c r="O22" s="227">
        <f>+M22/60*5</f>
        <v>20833.333333333336</v>
      </c>
      <c r="P22" s="227">
        <f t="shared" si="19"/>
        <v>31272.546897546905</v>
      </c>
      <c r="Q22" s="227">
        <f t="shared" si="20"/>
        <v>114831.34920634926</v>
      </c>
      <c r="R22" s="227">
        <f>+Q22-L22</f>
        <v>114831.34920634926</v>
      </c>
      <c r="S22" s="227">
        <f>+(N22-M22)-(I22-H22)</f>
        <v>125270.56277056283</v>
      </c>
      <c r="T22" s="227">
        <f>+(P22-O22)-(K22-J22)</f>
        <v>10439.213564213569</v>
      </c>
      <c r="U22" s="227">
        <f>+S22-T22</f>
        <v>114831.34920634926</v>
      </c>
    </row>
    <row r="23" spans="1:21" s="230" customFormat="1" ht="14.25" customHeight="1" x14ac:dyDescent="0.3">
      <c r="A23" s="239" t="s">
        <v>75</v>
      </c>
      <c r="B23" s="239"/>
      <c r="C23" s="236"/>
      <c r="D23" s="236"/>
      <c r="E23" s="236"/>
      <c r="F23" s="237"/>
      <c r="G23" s="238"/>
      <c r="H23" s="240">
        <f>SUM(H21:H22)</f>
        <v>400000</v>
      </c>
      <c r="I23" s="240">
        <f t="shared" ref="I23:U23" si="21">SUM(I21:I22)</f>
        <v>523286.37011239509</v>
      </c>
      <c r="J23" s="240">
        <f t="shared" si="21"/>
        <v>46666.666666666672</v>
      </c>
      <c r="K23" s="240">
        <f t="shared" si="21"/>
        <v>61050.07651311277</v>
      </c>
      <c r="L23" s="240">
        <f t="shared" si="21"/>
        <v>108902.96026594899</v>
      </c>
      <c r="M23" s="240">
        <f t="shared" si="21"/>
        <v>650000</v>
      </c>
      <c r="N23" s="240">
        <f t="shared" si="21"/>
        <v>1868321.0614249874</v>
      </c>
      <c r="O23" s="240">
        <f t="shared" si="21"/>
        <v>147500</v>
      </c>
      <c r="P23" s="240">
        <f t="shared" si="21"/>
        <v>504071.87147144799</v>
      </c>
      <c r="Q23" s="240">
        <f t="shared" si="21"/>
        <v>861749.18995353929</v>
      </c>
      <c r="R23" s="240">
        <f t="shared" si="21"/>
        <v>752846.22968759027</v>
      </c>
      <c r="S23" s="240">
        <f t="shared" si="21"/>
        <v>1095034.691312592</v>
      </c>
      <c r="T23" s="240">
        <f t="shared" si="21"/>
        <v>342188.46162500186</v>
      </c>
      <c r="U23" s="240">
        <f t="shared" si="21"/>
        <v>752846.22968759027</v>
      </c>
    </row>
    <row r="24" spans="1:21" s="196" customFormat="1" ht="14.25" customHeight="1" x14ac:dyDescent="0.3">
      <c r="A24" s="228"/>
      <c r="B24" s="228"/>
      <c r="C24" s="235"/>
      <c r="D24" s="235"/>
      <c r="E24" s="235"/>
      <c r="F24" s="225"/>
      <c r="G24" s="226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</row>
    <row r="25" spans="1:21" s="196" customFormat="1" ht="14.25" customHeight="1" x14ac:dyDescent="0.3">
      <c r="A25" s="241" t="s">
        <v>63</v>
      </c>
      <c r="B25" s="242">
        <v>41730</v>
      </c>
      <c r="C25" s="235">
        <f>VLOOKUP(B25,IPCINPC,2,)</f>
        <v>574.29999999999995</v>
      </c>
      <c r="D25" s="235">
        <f>$G$4</f>
        <v>826.4</v>
      </c>
      <c r="E25" s="235">
        <f>$H$5</f>
        <v>2357.9</v>
      </c>
      <c r="F25" s="225">
        <f>(D25/C25)</f>
        <v>1.4389691798711475</v>
      </c>
      <c r="G25" s="226">
        <f>(E25/C25)</f>
        <v>4.1056938882117366</v>
      </c>
      <c r="H25" s="227">
        <v>2000000</v>
      </c>
      <c r="I25" s="227">
        <f t="shared" ref="I25" si="22">H25*F25</f>
        <v>2877938.359742295</v>
      </c>
      <c r="J25" s="227">
        <v>0</v>
      </c>
      <c r="K25" s="227">
        <f>J25*F25</f>
        <v>0</v>
      </c>
      <c r="L25" s="227">
        <f>(I25-H25)-(K25-J25)</f>
        <v>877938.359742295</v>
      </c>
      <c r="M25" s="227">
        <v>2000000</v>
      </c>
      <c r="N25" s="227">
        <f>(M25*G25)</f>
        <v>8211387.7764234729</v>
      </c>
      <c r="O25" s="227">
        <v>0</v>
      </c>
      <c r="P25" s="227">
        <f>(G25*O25)</f>
        <v>0</v>
      </c>
      <c r="Q25" s="227">
        <f>((N25-M25)-(P25-O25))</f>
        <v>6211387.7764234729</v>
      </c>
      <c r="R25" s="227">
        <f>+Q25-L25</f>
        <v>5333449.4166811779</v>
      </c>
      <c r="S25" s="227">
        <f>+(N25-M25)-(I25-H25)</f>
        <v>5333449.4166811779</v>
      </c>
      <c r="T25" s="227">
        <f>+(P25-O25)-(K25-J25)</f>
        <v>0</v>
      </c>
      <c r="U25" s="227">
        <f>+S25-T25</f>
        <v>5333449.4166811779</v>
      </c>
    </row>
    <row r="26" spans="1:21" s="196" customFormat="1" ht="14.25" customHeight="1" x14ac:dyDescent="0.3">
      <c r="A26" s="239" t="s">
        <v>75</v>
      </c>
      <c r="B26" s="157"/>
      <c r="C26" s="235"/>
      <c r="D26" s="235"/>
      <c r="E26" s="235"/>
      <c r="F26" s="225"/>
      <c r="G26" s="226"/>
      <c r="H26" s="240">
        <f>SUM(H25)</f>
        <v>2000000</v>
      </c>
      <c r="I26" s="240">
        <f t="shared" ref="I26:U26" si="23">SUM(I25)</f>
        <v>2877938.359742295</v>
      </c>
      <c r="J26" s="240">
        <f t="shared" si="23"/>
        <v>0</v>
      </c>
      <c r="K26" s="240">
        <f t="shared" si="23"/>
        <v>0</v>
      </c>
      <c r="L26" s="240">
        <f t="shared" si="23"/>
        <v>877938.359742295</v>
      </c>
      <c r="M26" s="240">
        <f t="shared" si="23"/>
        <v>2000000</v>
      </c>
      <c r="N26" s="240">
        <f t="shared" si="23"/>
        <v>8211387.7764234729</v>
      </c>
      <c r="O26" s="240">
        <f t="shared" si="23"/>
        <v>0</v>
      </c>
      <c r="P26" s="240">
        <f t="shared" si="23"/>
        <v>0</v>
      </c>
      <c r="Q26" s="240">
        <f t="shared" si="23"/>
        <v>6211387.7764234729</v>
      </c>
      <c r="R26" s="240">
        <f t="shared" si="23"/>
        <v>5333449.4166811779</v>
      </c>
      <c r="S26" s="240">
        <f t="shared" si="23"/>
        <v>5333449.4166811779</v>
      </c>
      <c r="T26" s="240">
        <f t="shared" si="23"/>
        <v>0</v>
      </c>
      <c r="U26" s="240">
        <f t="shared" si="23"/>
        <v>5333449.4166811779</v>
      </c>
    </row>
    <row r="27" spans="1:21" s="196" customFormat="1" ht="14.25" customHeight="1" x14ac:dyDescent="0.3">
      <c r="A27" s="239"/>
      <c r="B27" s="157"/>
      <c r="C27" s="235"/>
      <c r="D27" s="235"/>
      <c r="E27" s="235"/>
      <c r="F27" s="225"/>
      <c r="G27" s="226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27"/>
      <c r="S27" s="227"/>
      <c r="T27" s="227"/>
      <c r="U27" s="240"/>
    </row>
    <row r="28" spans="1:21" s="196" customFormat="1" ht="14.25" customHeight="1" x14ac:dyDescent="0.3">
      <c r="A28" s="239" t="s">
        <v>11</v>
      </c>
      <c r="B28" s="150">
        <v>41760</v>
      </c>
      <c r="C28" s="235">
        <f>VLOOKUP(B28,IPCINPC,2,)</f>
        <v>605.5</v>
      </c>
      <c r="D28" s="235">
        <f>$G$4</f>
        <v>826.4</v>
      </c>
      <c r="E28" s="235">
        <f t="shared" ref="E28:E29" si="24">$H$5</f>
        <v>2357.9</v>
      </c>
      <c r="F28" s="225">
        <f t="shared" ref="F28:F29" si="25">(D28/C28)</f>
        <v>1.364822460776218</v>
      </c>
      <c r="G28" s="226">
        <f t="shared" ref="G28:G29" si="26">(E28/C28)</f>
        <v>3.8941370767960364</v>
      </c>
      <c r="H28" s="227">
        <v>250000</v>
      </c>
      <c r="I28" s="227">
        <f t="shared" ref="I28" si="27">H28*F28</f>
        <v>341205.6151940545</v>
      </c>
      <c r="J28" s="240">
        <v>0</v>
      </c>
      <c r="K28" s="227">
        <f t="shared" ref="K28:K29" si="28">J28*F28</f>
        <v>0</v>
      </c>
      <c r="L28" s="227">
        <f t="shared" ref="L28:L29" si="29">((+I28-H28)-(K28-J28))</f>
        <v>91205.615194054495</v>
      </c>
      <c r="M28" s="227">
        <v>250000</v>
      </c>
      <c r="N28" s="227">
        <f t="shared" ref="N28:N29" si="30">(M28*G28)</f>
        <v>973534.26919900905</v>
      </c>
      <c r="O28" s="227">
        <v>0</v>
      </c>
      <c r="P28" s="227">
        <f t="shared" ref="P28:P29" si="31">(G28*O28)</f>
        <v>0</v>
      </c>
      <c r="Q28" s="227">
        <f t="shared" ref="Q28:Q29" si="32">((N28-M28)-(P28-O28))</f>
        <v>723534.26919900905</v>
      </c>
      <c r="R28" s="227">
        <f>+Q28-L28</f>
        <v>632328.6540049545</v>
      </c>
      <c r="S28" s="227">
        <f>+(N28-M28)-(I28-H28)</f>
        <v>632328.6540049545</v>
      </c>
      <c r="T28" s="227">
        <f>+(P28-O28)-(K28-J28)</f>
        <v>0</v>
      </c>
      <c r="U28" s="227">
        <f>+S28-T28</f>
        <v>632328.6540049545</v>
      </c>
    </row>
    <row r="29" spans="1:21" s="196" customFormat="1" ht="14.25" customHeight="1" x14ac:dyDescent="0.3">
      <c r="A29" s="239" t="s">
        <v>11</v>
      </c>
      <c r="B29" s="150">
        <v>42156</v>
      </c>
      <c r="C29" s="235">
        <f>VLOOKUP(B29,IPCINPC,2,)</f>
        <v>1261.5999999999999</v>
      </c>
      <c r="D29" s="235"/>
      <c r="E29" s="235">
        <f t="shared" si="24"/>
        <v>2357.9</v>
      </c>
      <c r="F29" s="225">
        <f t="shared" si="25"/>
        <v>0</v>
      </c>
      <c r="G29" s="226">
        <f t="shared" si="26"/>
        <v>1.868975903614458</v>
      </c>
      <c r="H29" s="227">
        <v>0</v>
      </c>
      <c r="I29" s="227">
        <f>ROUND((+H29*F29),2)</f>
        <v>0</v>
      </c>
      <c r="J29" s="240">
        <v>0</v>
      </c>
      <c r="K29" s="227">
        <f t="shared" si="28"/>
        <v>0</v>
      </c>
      <c r="L29" s="227">
        <f t="shared" si="29"/>
        <v>0</v>
      </c>
      <c r="M29" s="227">
        <v>53500</v>
      </c>
      <c r="N29" s="227">
        <f t="shared" si="30"/>
        <v>99990.210843373497</v>
      </c>
      <c r="O29" s="227">
        <v>0</v>
      </c>
      <c r="P29" s="227">
        <f t="shared" si="31"/>
        <v>0</v>
      </c>
      <c r="Q29" s="227">
        <f t="shared" si="32"/>
        <v>46490.210843373497</v>
      </c>
      <c r="R29" s="227">
        <f>+Q29-L29</f>
        <v>46490.210843373497</v>
      </c>
      <c r="S29" s="227">
        <f>+(N29-M29)-(I29-H29)</f>
        <v>46490.210843373497</v>
      </c>
      <c r="T29" s="227">
        <f>+(P29-O29)-(K29-J29)</f>
        <v>0</v>
      </c>
      <c r="U29" s="227">
        <f>+S29-T29</f>
        <v>46490.210843373497</v>
      </c>
    </row>
    <row r="30" spans="1:21" s="196" customFormat="1" ht="14.25" customHeight="1" x14ac:dyDescent="0.3">
      <c r="A30" s="239" t="s">
        <v>245</v>
      </c>
      <c r="B30" s="150"/>
      <c r="C30" s="235"/>
      <c r="D30" s="235"/>
      <c r="E30" s="235"/>
      <c r="F30" s="225"/>
      <c r="G30" s="226"/>
      <c r="H30" s="240">
        <f>SUM(H28:H29)</f>
        <v>250000</v>
      </c>
      <c r="I30" s="240">
        <f t="shared" ref="I30:U30" si="33">SUM(I28:I29)</f>
        <v>341205.6151940545</v>
      </c>
      <c r="J30" s="240">
        <f t="shared" si="33"/>
        <v>0</v>
      </c>
      <c r="K30" s="240">
        <f t="shared" si="33"/>
        <v>0</v>
      </c>
      <c r="L30" s="240">
        <f t="shared" si="33"/>
        <v>91205.615194054495</v>
      </c>
      <c r="M30" s="240">
        <f t="shared" si="33"/>
        <v>303500</v>
      </c>
      <c r="N30" s="240">
        <f t="shared" si="33"/>
        <v>1073524.4800423826</v>
      </c>
      <c r="O30" s="240">
        <f t="shared" si="33"/>
        <v>0</v>
      </c>
      <c r="P30" s="240">
        <f t="shared" si="33"/>
        <v>0</v>
      </c>
      <c r="Q30" s="240">
        <f t="shared" si="33"/>
        <v>770024.48004238261</v>
      </c>
      <c r="R30" s="240">
        <f t="shared" si="33"/>
        <v>678818.86484832806</v>
      </c>
      <c r="S30" s="240">
        <f t="shared" si="33"/>
        <v>678818.86484832806</v>
      </c>
      <c r="T30" s="240">
        <f t="shared" si="33"/>
        <v>0</v>
      </c>
      <c r="U30" s="240">
        <f t="shared" si="33"/>
        <v>678818.86484832806</v>
      </c>
    </row>
    <row r="31" spans="1:21" s="196" customFormat="1" ht="14.25" customHeight="1" x14ac:dyDescent="0.3">
      <c r="A31" s="233"/>
      <c r="B31" s="234"/>
      <c r="C31" s="235"/>
      <c r="D31" s="235"/>
      <c r="E31" s="235"/>
      <c r="F31" s="225"/>
      <c r="G31" s="226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</row>
    <row r="32" spans="1:21" s="230" customFormat="1" ht="17.25" thickBot="1" x14ac:dyDescent="0.35">
      <c r="A32" s="490" t="s">
        <v>219</v>
      </c>
      <c r="B32" s="491"/>
      <c r="C32" s="491"/>
      <c r="D32" s="491"/>
      <c r="E32" s="491"/>
      <c r="F32" s="491"/>
      <c r="G32" s="492"/>
      <c r="H32" s="229">
        <f>+H26+H23+H19+H30</f>
        <v>5650000</v>
      </c>
      <c r="I32" s="229">
        <f t="shared" ref="I32:U32" si="34">+I26+I23+I19+I30</f>
        <v>7187345.4634130569</v>
      </c>
      <c r="J32" s="229">
        <f t="shared" si="34"/>
        <v>130000.00000000001</v>
      </c>
      <c r="K32" s="229">
        <f t="shared" si="34"/>
        <v>171374.66248446383</v>
      </c>
      <c r="L32" s="229">
        <f t="shared" si="34"/>
        <v>1495970.8009285938</v>
      </c>
      <c r="M32" s="229">
        <f t="shared" si="34"/>
        <v>6953500</v>
      </c>
      <c r="N32" s="229">
        <f t="shared" si="34"/>
        <v>23339758.34427803</v>
      </c>
      <c r="O32" s="229">
        <f t="shared" si="34"/>
        <v>614166.66666666674</v>
      </c>
      <c r="P32" s="229">
        <f t="shared" si="34"/>
        <v>1998214.0794888325</v>
      </c>
      <c r="Q32" s="229">
        <f t="shared" si="34"/>
        <v>15002210.931455864</v>
      </c>
      <c r="R32" s="229">
        <f t="shared" si="34"/>
        <v>13506240.130527269</v>
      </c>
      <c r="S32" s="229">
        <f t="shared" si="34"/>
        <v>14848912.880864972</v>
      </c>
      <c r="T32" s="229">
        <f t="shared" si="34"/>
        <v>1342672.7503377018</v>
      </c>
      <c r="U32" s="229">
        <f t="shared" si="34"/>
        <v>13506240.130527269</v>
      </c>
    </row>
    <row r="33" spans="1:17" s="157" customFormat="1" ht="17.25" thickTop="1" x14ac:dyDescent="0.3">
      <c r="B33" s="154"/>
      <c r="C33" s="155"/>
      <c r="D33" s="156"/>
      <c r="E33" s="162"/>
      <c r="I33" s="174">
        <f>+I32-K32</f>
        <v>7015970.8009285927</v>
      </c>
      <c r="M33" s="174">
        <f>+M32-O32</f>
        <v>6339333.333333333</v>
      </c>
      <c r="N33" s="174">
        <f>+N32-P32</f>
        <v>21341544.264789198</v>
      </c>
    </row>
    <row r="34" spans="1:17" s="157" customFormat="1" ht="16.5" x14ac:dyDescent="0.3">
      <c r="A34" s="149"/>
      <c r="B34" s="231"/>
      <c r="C34" s="155"/>
      <c r="D34" s="156"/>
      <c r="E34" s="166"/>
      <c r="N34" s="174">
        <f>+N32-P32</f>
        <v>21341544.264789198</v>
      </c>
      <c r="Q34" s="174"/>
    </row>
    <row r="35" spans="1:17" s="157" customFormat="1" ht="16.5" x14ac:dyDescent="0.3">
      <c r="B35" s="154"/>
      <c r="C35" s="155"/>
      <c r="D35" s="156"/>
    </row>
    <row r="36" spans="1:17" s="157" customFormat="1" ht="16.5" x14ac:dyDescent="0.3">
      <c r="A36" s="149"/>
      <c r="B36" s="154"/>
      <c r="C36" s="155"/>
      <c r="D36" s="156"/>
    </row>
    <row r="37" spans="1:17" s="157" customFormat="1" ht="16.5" x14ac:dyDescent="0.3">
      <c r="B37" s="154"/>
      <c r="C37" s="155"/>
      <c r="D37" s="156"/>
      <c r="E37" s="162"/>
    </row>
    <row r="38" spans="1:17" s="157" customFormat="1" ht="16.5" x14ac:dyDescent="0.3">
      <c r="B38" s="154"/>
      <c r="C38" s="155"/>
      <c r="D38" s="156"/>
      <c r="E38" s="162"/>
    </row>
    <row r="39" spans="1:17" s="157" customFormat="1" ht="16.5" x14ac:dyDescent="0.3">
      <c r="A39" s="149"/>
      <c r="B39" s="231"/>
      <c r="C39" s="155"/>
      <c r="D39" s="156"/>
      <c r="E39" s="232"/>
    </row>
    <row r="40" spans="1:17" s="157" customFormat="1" ht="16.5" x14ac:dyDescent="0.3">
      <c r="A40" s="149"/>
      <c r="B40" s="154"/>
      <c r="C40" s="155"/>
      <c r="D40" s="156"/>
    </row>
    <row r="41" spans="1:17" x14ac:dyDescent="0.25">
      <c r="A41" s="86"/>
    </row>
    <row r="42" spans="1:17" x14ac:dyDescent="0.25">
      <c r="E42" s="417"/>
    </row>
    <row r="43" spans="1:17" x14ac:dyDescent="0.25">
      <c r="E43" s="77"/>
    </row>
    <row r="44" spans="1:17" x14ac:dyDescent="0.25">
      <c r="E44" s="77"/>
    </row>
    <row r="45" spans="1:17" x14ac:dyDescent="0.25">
      <c r="A45" s="86"/>
      <c r="B45" s="416"/>
      <c r="E45" s="87"/>
    </row>
    <row r="47" spans="1:17" x14ac:dyDescent="0.25">
      <c r="A47" s="418"/>
      <c r="B47" s="419"/>
      <c r="E47" s="420"/>
    </row>
    <row r="48" spans="1:17" x14ac:dyDescent="0.25">
      <c r="E48" s="417"/>
    </row>
    <row r="49" spans="5:5" x14ac:dyDescent="0.25">
      <c r="E49" s="77"/>
    </row>
    <row r="50" spans="5:5" x14ac:dyDescent="0.25">
      <c r="E50" s="77"/>
    </row>
  </sheetData>
  <mergeCells count="1">
    <mergeCell ref="A32:G32"/>
  </mergeCells>
  <phoneticPr fontId="0" type="noConversion"/>
  <pageMargins left="0.35" right="0.14000000000000001" top="0.54" bottom="0.16" header="0" footer="0"/>
  <pageSetup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</vt:i4>
      </vt:variant>
    </vt:vector>
  </HeadingPairs>
  <TitlesOfParts>
    <vt:vector size="23" baseType="lpstr">
      <vt:lpstr>BALANCES</vt:lpstr>
      <vt:lpstr>ADICIONAL</vt:lpstr>
      <vt:lpstr>IPC-INPC</vt:lpstr>
      <vt:lpstr>INVENTARIO INICIAL</vt:lpstr>
      <vt:lpstr>AJUSTE INICIAL AM </vt:lpstr>
      <vt:lpstr>AJUSTE INICIAL AFD</vt:lpstr>
      <vt:lpstr>ASIENTOS FISCALES</vt:lpstr>
      <vt:lpstr>Balance Fiscal Ajustado 2014</vt:lpstr>
      <vt:lpstr>ACTIVOS FIJOS AR</vt:lpstr>
      <vt:lpstr>ACTIVOS FIJOS AMORTIZABLES</vt:lpstr>
      <vt:lpstr>BALANCE FISCAL ACT 2014 A 2015</vt:lpstr>
      <vt:lpstr>INVENTARIOS</vt:lpstr>
      <vt:lpstr>CAPITAL SOCIAL</vt:lpstr>
      <vt:lpstr>EXCLUSIONES FISCALES</vt:lpstr>
      <vt:lpstr>ASIENTOS FISCALES 2015</vt:lpstr>
      <vt:lpstr>Balance Fiscal Ajustado 2015</vt:lpstr>
      <vt:lpstr>'BALANCE FISCAL ACT 2014 A 2015'!Área_de_impresión</vt:lpstr>
      <vt:lpstr>'Balance Fiscal Ajustado 2014'!Área_de_impresión</vt:lpstr>
      <vt:lpstr>BFIA</vt:lpstr>
      <vt:lpstr>INPC</vt:lpstr>
      <vt:lpstr>IPC</vt:lpstr>
      <vt:lpstr>IPCINPC</vt:lpstr>
      <vt:lpstr>ADICIONAL!Títulos_a_imprimir</vt:lpstr>
    </vt:vector>
  </TitlesOfParts>
  <Company>MS &amp; ASOCIADOS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informix</dc:creator>
  <cp:lastModifiedBy>Gustavo Ojeda</cp:lastModifiedBy>
  <cp:lastPrinted>2011-11-28T22:47:33Z</cp:lastPrinted>
  <dcterms:created xsi:type="dcterms:W3CDTF">2006-05-06T22:41:13Z</dcterms:created>
  <dcterms:modified xsi:type="dcterms:W3CDTF">2016-03-15T00:48:35Z</dcterms:modified>
</cp:coreProperties>
</file>